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3-7" sheetId="1" r:id="rId1"/>
    <sheet name="1,5-3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69" i="1"/>
  <c r="J225"/>
  <c r="I225"/>
  <c r="H225"/>
  <c r="G225"/>
  <c r="F225"/>
  <c r="F193"/>
  <c r="G19"/>
  <c r="F19"/>
  <c r="G176"/>
  <c r="F176"/>
  <c r="J149"/>
  <c r="H149"/>
  <c r="G149"/>
  <c r="F149"/>
  <c r="J200" l="1"/>
  <c r="I200"/>
  <c r="H200"/>
  <c r="G200"/>
  <c r="F200"/>
  <c r="J152"/>
  <c r="I152"/>
  <c r="H152"/>
  <c r="G152"/>
  <c r="F152"/>
  <c r="J70"/>
  <c r="I70"/>
  <c r="H70"/>
  <c r="G70"/>
  <c r="F70"/>
  <c r="J265"/>
  <c r="I265"/>
  <c r="H265"/>
  <c r="G265"/>
  <c r="F265"/>
  <c r="J240"/>
  <c r="I240"/>
  <c r="H240"/>
  <c r="G240"/>
  <c r="F240"/>
  <c r="J215"/>
  <c r="I215"/>
  <c r="H215"/>
  <c r="G215"/>
  <c r="F215"/>
  <c r="J188"/>
  <c r="I188"/>
  <c r="H188"/>
  <c r="G188"/>
  <c r="F188"/>
  <c r="J164"/>
  <c r="I164"/>
  <c r="H164"/>
  <c r="G164"/>
  <c r="F164"/>
  <c r="J138"/>
  <c r="I138"/>
  <c r="H138"/>
  <c r="G138"/>
  <c r="F138"/>
  <c r="J111"/>
  <c r="I111"/>
  <c r="H111"/>
  <c r="G111"/>
  <c r="F111"/>
  <c r="J86"/>
  <c r="I86"/>
  <c r="H86"/>
  <c r="G86"/>
  <c r="F86"/>
  <c r="J59"/>
  <c r="I59"/>
  <c r="H59"/>
  <c r="G59"/>
  <c r="F59"/>
  <c r="E118" l="1"/>
  <c r="J115"/>
  <c r="I115"/>
  <c r="H115"/>
  <c r="G115"/>
  <c r="F115"/>
  <c r="J33"/>
  <c r="J264"/>
  <c r="J239"/>
  <c r="J214"/>
  <c r="J189"/>
  <c r="J163"/>
  <c r="J137"/>
  <c r="J85"/>
  <c r="J58"/>
  <c r="J34"/>
  <c r="I34"/>
  <c r="H34"/>
  <c r="G34"/>
  <c r="F34"/>
  <c r="F179"/>
  <c r="F142"/>
  <c r="I132"/>
  <c r="E254" i="2" l="1"/>
  <c r="E230"/>
  <c r="E204"/>
  <c r="E179"/>
  <c r="E154"/>
  <c r="E128"/>
  <c r="E102"/>
  <c r="E74"/>
  <c r="E49"/>
  <c r="E35"/>
  <c r="J30"/>
  <c r="I30"/>
  <c r="H30"/>
  <c r="H31"/>
  <c r="G30"/>
  <c r="F30"/>
  <c r="E24"/>
  <c r="E269"/>
  <c r="J268"/>
  <c r="J269" s="1"/>
  <c r="I268"/>
  <c r="I269" s="1"/>
  <c r="H268"/>
  <c r="H269" s="1"/>
  <c r="G268"/>
  <c r="G269" s="1"/>
  <c r="F268"/>
  <c r="F269" s="1"/>
  <c r="E265"/>
  <c r="E270" s="1"/>
  <c r="J264"/>
  <c r="I264"/>
  <c r="H264"/>
  <c r="G264"/>
  <c r="F264"/>
  <c r="J263"/>
  <c r="I263"/>
  <c r="H263"/>
  <c r="G263"/>
  <c r="F263"/>
  <c r="J262"/>
  <c r="I262"/>
  <c r="H262"/>
  <c r="G262"/>
  <c r="F262"/>
  <c r="J261"/>
  <c r="I261"/>
  <c r="H261"/>
  <c r="G261"/>
  <c r="F261"/>
  <c r="J259"/>
  <c r="I259"/>
  <c r="H259"/>
  <c r="G259"/>
  <c r="F259"/>
  <c r="J257"/>
  <c r="J265" s="1"/>
  <c r="I257"/>
  <c r="H257"/>
  <c r="H265" s="1"/>
  <c r="G257"/>
  <c r="F257"/>
  <c r="F265" s="1"/>
  <c r="J252"/>
  <c r="I252"/>
  <c r="H252"/>
  <c r="G252"/>
  <c r="F252"/>
  <c r="J251"/>
  <c r="I251"/>
  <c r="H251"/>
  <c r="G251"/>
  <c r="F251"/>
  <c r="J250"/>
  <c r="I250"/>
  <c r="H250"/>
  <c r="G250"/>
  <c r="F250"/>
  <c r="J249"/>
  <c r="I249"/>
  <c r="H249"/>
  <c r="G249"/>
  <c r="F249"/>
  <c r="E244"/>
  <c r="J242"/>
  <c r="J244" s="1"/>
  <c r="I242"/>
  <c r="I244" s="1"/>
  <c r="H242"/>
  <c r="H244" s="1"/>
  <c r="G242"/>
  <c r="G244" s="1"/>
  <c r="F242"/>
  <c r="F244" s="1"/>
  <c r="E240"/>
  <c r="J239"/>
  <c r="I239"/>
  <c r="H239"/>
  <c r="G239"/>
  <c r="F239"/>
  <c r="J238"/>
  <c r="I238"/>
  <c r="H238"/>
  <c r="G238"/>
  <c r="F238"/>
  <c r="J237"/>
  <c r="I237"/>
  <c r="H237"/>
  <c r="G237"/>
  <c r="F237"/>
  <c r="J236"/>
  <c r="I236"/>
  <c r="H236"/>
  <c r="G236"/>
  <c r="F236"/>
  <c r="I234"/>
  <c r="H234"/>
  <c r="G234"/>
  <c r="F234"/>
  <c r="I233"/>
  <c r="I240" s="1"/>
  <c r="H233"/>
  <c r="G233"/>
  <c r="G240" s="1"/>
  <c r="F233"/>
  <c r="J233" s="1"/>
  <c r="E245"/>
  <c r="J228"/>
  <c r="I228"/>
  <c r="H228"/>
  <c r="G228"/>
  <c r="F228"/>
  <c r="J227"/>
  <c r="I227"/>
  <c r="H227"/>
  <c r="G227"/>
  <c r="F227"/>
  <c r="J226"/>
  <c r="J230" s="1"/>
  <c r="I226"/>
  <c r="H226"/>
  <c r="H230" s="1"/>
  <c r="G226"/>
  <c r="F226"/>
  <c r="F230" s="1"/>
  <c r="J225"/>
  <c r="I225"/>
  <c r="H225"/>
  <c r="G225"/>
  <c r="F225"/>
  <c r="E220"/>
  <c r="J219"/>
  <c r="I219"/>
  <c r="I220" s="1"/>
  <c r="H219"/>
  <c r="G219"/>
  <c r="G220" s="1"/>
  <c r="F219"/>
  <c r="J218"/>
  <c r="J220" s="1"/>
  <c r="I218"/>
  <c r="H218"/>
  <c r="H220" s="1"/>
  <c r="G218"/>
  <c r="F218"/>
  <c r="F220" s="1"/>
  <c r="E216"/>
  <c r="J215"/>
  <c r="I215"/>
  <c r="H215"/>
  <c r="G215"/>
  <c r="F215"/>
  <c r="J214"/>
  <c r="I214"/>
  <c r="H214"/>
  <c r="G214"/>
  <c r="F214"/>
  <c r="J213"/>
  <c r="I213"/>
  <c r="H213"/>
  <c r="G213"/>
  <c r="F213"/>
  <c r="J212"/>
  <c r="I212"/>
  <c r="H212"/>
  <c r="G212"/>
  <c r="F212"/>
  <c r="J211"/>
  <c r="I211"/>
  <c r="H211"/>
  <c r="G211"/>
  <c r="F211"/>
  <c r="J209"/>
  <c r="I209"/>
  <c r="H209"/>
  <c r="G209"/>
  <c r="F209"/>
  <c r="J207"/>
  <c r="J216" s="1"/>
  <c r="I207"/>
  <c r="H207"/>
  <c r="H216" s="1"/>
  <c r="G207"/>
  <c r="F207"/>
  <c r="F216" s="1"/>
  <c r="E221"/>
  <c r="J202"/>
  <c r="I202"/>
  <c r="H202"/>
  <c r="G202"/>
  <c r="F202"/>
  <c r="J201"/>
  <c r="I201"/>
  <c r="H201"/>
  <c r="G201"/>
  <c r="F201"/>
  <c r="J200"/>
  <c r="I200"/>
  <c r="H200"/>
  <c r="H204" s="1"/>
  <c r="H221" s="1"/>
  <c r="G200"/>
  <c r="F200"/>
  <c r="F204" s="1"/>
  <c r="F221" s="1"/>
  <c r="J199"/>
  <c r="I199"/>
  <c r="I204" s="1"/>
  <c r="H199"/>
  <c r="G199"/>
  <c r="G204" s="1"/>
  <c r="F199"/>
  <c r="E194"/>
  <c r="J193"/>
  <c r="J194" s="1"/>
  <c r="I193"/>
  <c r="I194" s="1"/>
  <c r="H193"/>
  <c r="H194" s="1"/>
  <c r="G193"/>
  <c r="G194" s="1"/>
  <c r="F193"/>
  <c r="F194" s="1"/>
  <c r="E190"/>
  <c r="J189"/>
  <c r="I189"/>
  <c r="H189"/>
  <c r="G189"/>
  <c r="F189"/>
  <c r="J188"/>
  <c r="I188"/>
  <c r="H188"/>
  <c r="G188"/>
  <c r="F188"/>
  <c r="J187"/>
  <c r="I187"/>
  <c r="H187"/>
  <c r="G187"/>
  <c r="F187"/>
  <c r="J186"/>
  <c r="I186"/>
  <c r="H186"/>
  <c r="G186"/>
  <c r="F186"/>
  <c r="J185"/>
  <c r="I185"/>
  <c r="H185"/>
  <c r="G185"/>
  <c r="F185"/>
  <c r="J184"/>
  <c r="I184"/>
  <c r="H184"/>
  <c r="G184"/>
  <c r="F184"/>
  <c r="J183"/>
  <c r="I183"/>
  <c r="H183"/>
  <c r="H190" s="1"/>
  <c r="G183"/>
  <c r="F183"/>
  <c r="F190" s="1"/>
  <c r="J182"/>
  <c r="I182"/>
  <c r="I190" s="1"/>
  <c r="H182"/>
  <c r="G182"/>
  <c r="G190" s="1"/>
  <c r="F182"/>
  <c r="E195"/>
  <c r="J177"/>
  <c r="I177"/>
  <c r="H177"/>
  <c r="G177"/>
  <c r="F177"/>
  <c r="J176"/>
  <c r="I176"/>
  <c r="H176"/>
  <c r="G176"/>
  <c r="F176"/>
  <c r="J175"/>
  <c r="J179" s="1"/>
  <c r="I175"/>
  <c r="H175"/>
  <c r="H179" s="1"/>
  <c r="G175"/>
  <c r="F175"/>
  <c r="F179" s="1"/>
  <c r="J174"/>
  <c r="I174"/>
  <c r="I179" s="1"/>
  <c r="H174"/>
  <c r="G174"/>
  <c r="G179" s="1"/>
  <c r="F174"/>
  <c r="E169"/>
  <c r="E170" s="1"/>
  <c r="J168"/>
  <c r="I168"/>
  <c r="I169" s="1"/>
  <c r="H168"/>
  <c r="G168"/>
  <c r="G169" s="1"/>
  <c r="F168"/>
  <c r="J167"/>
  <c r="J169" s="1"/>
  <c r="I167"/>
  <c r="H167"/>
  <c r="H169" s="1"/>
  <c r="G167"/>
  <c r="F167"/>
  <c r="F169" s="1"/>
  <c r="E165"/>
  <c r="J164"/>
  <c r="I164"/>
  <c r="H164"/>
  <c r="G164"/>
  <c r="F164"/>
  <c r="J163"/>
  <c r="I163"/>
  <c r="H163"/>
  <c r="G163"/>
  <c r="F163"/>
  <c r="J162"/>
  <c r="I162"/>
  <c r="H162"/>
  <c r="G162"/>
  <c r="F162"/>
  <c r="J161"/>
  <c r="I161"/>
  <c r="H161"/>
  <c r="G161"/>
  <c r="F161"/>
  <c r="J160"/>
  <c r="I160"/>
  <c r="H160"/>
  <c r="G160"/>
  <c r="F160"/>
  <c r="J158"/>
  <c r="I158"/>
  <c r="H158"/>
  <c r="G158"/>
  <c r="F158"/>
  <c r="J157"/>
  <c r="J165" s="1"/>
  <c r="I157"/>
  <c r="H157"/>
  <c r="H165" s="1"/>
  <c r="G157"/>
  <c r="F157"/>
  <c r="F165" s="1"/>
  <c r="J153"/>
  <c r="I153"/>
  <c r="H153"/>
  <c r="G153"/>
  <c r="F153"/>
  <c r="J151"/>
  <c r="I151"/>
  <c r="H151"/>
  <c r="G151"/>
  <c r="F151"/>
  <c r="J149"/>
  <c r="I149"/>
  <c r="H149"/>
  <c r="G149"/>
  <c r="F149"/>
  <c r="J147"/>
  <c r="I147"/>
  <c r="H147"/>
  <c r="G147"/>
  <c r="F147"/>
  <c r="E143"/>
  <c r="J142"/>
  <c r="J143" s="1"/>
  <c r="I142"/>
  <c r="I143" s="1"/>
  <c r="H142"/>
  <c r="H143" s="1"/>
  <c r="G142"/>
  <c r="G143" s="1"/>
  <c r="F142"/>
  <c r="F143" s="1"/>
  <c r="E139"/>
  <c r="J138"/>
  <c r="I138"/>
  <c r="H138"/>
  <c r="G138"/>
  <c r="F138"/>
  <c r="J137"/>
  <c r="I137"/>
  <c r="H137"/>
  <c r="G137"/>
  <c r="F137"/>
  <c r="J136"/>
  <c r="I136"/>
  <c r="H136"/>
  <c r="G136"/>
  <c r="F136"/>
  <c r="J135"/>
  <c r="I135"/>
  <c r="H135"/>
  <c r="G135"/>
  <c r="F135"/>
  <c r="J134"/>
  <c r="I134"/>
  <c r="H134"/>
  <c r="G134"/>
  <c r="F134"/>
  <c r="J132"/>
  <c r="I132"/>
  <c r="H132"/>
  <c r="G132"/>
  <c r="F132"/>
  <c r="J131"/>
  <c r="J139" s="1"/>
  <c r="I131"/>
  <c r="H131"/>
  <c r="H139" s="1"/>
  <c r="G131"/>
  <c r="F131"/>
  <c r="F139" s="1"/>
  <c r="E144"/>
  <c r="J126"/>
  <c r="I126"/>
  <c r="H126"/>
  <c r="G126"/>
  <c r="F126"/>
  <c r="J125"/>
  <c r="I125"/>
  <c r="H125"/>
  <c r="G125"/>
  <c r="F125"/>
  <c r="J123"/>
  <c r="I123"/>
  <c r="I128" s="1"/>
  <c r="H123"/>
  <c r="G123"/>
  <c r="G128" s="1"/>
  <c r="F123"/>
  <c r="E118"/>
  <c r="J116"/>
  <c r="I116"/>
  <c r="I118" s="1"/>
  <c r="H116"/>
  <c r="G116"/>
  <c r="G118" s="1"/>
  <c r="F116"/>
  <c r="J115"/>
  <c r="J118" s="1"/>
  <c r="I115"/>
  <c r="H115"/>
  <c r="H118" s="1"/>
  <c r="G115"/>
  <c r="F115"/>
  <c r="F118" s="1"/>
  <c r="E113"/>
  <c r="J112"/>
  <c r="I112"/>
  <c r="H112"/>
  <c r="G112"/>
  <c r="F112"/>
  <c r="J111"/>
  <c r="I111"/>
  <c r="H111"/>
  <c r="G111"/>
  <c r="F111"/>
  <c r="J110"/>
  <c r="I110"/>
  <c r="H110"/>
  <c r="G110"/>
  <c r="F110"/>
  <c r="J109"/>
  <c r="I109"/>
  <c r="H109"/>
  <c r="G109"/>
  <c r="F109"/>
  <c r="J108"/>
  <c r="I108"/>
  <c r="H108"/>
  <c r="G108"/>
  <c r="F108"/>
  <c r="J106"/>
  <c r="I106"/>
  <c r="H106"/>
  <c r="G106"/>
  <c r="F106"/>
  <c r="J105"/>
  <c r="J113" s="1"/>
  <c r="I105"/>
  <c r="H105"/>
  <c r="H113" s="1"/>
  <c r="G105"/>
  <c r="F105"/>
  <c r="F113" s="1"/>
  <c r="J100"/>
  <c r="I100"/>
  <c r="H100"/>
  <c r="G100"/>
  <c r="F100"/>
  <c r="J99"/>
  <c r="I99"/>
  <c r="H99"/>
  <c r="G99"/>
  <c r="F99"/>
  <c r="J98"/>
  <c r="I98"/>
  <c r="H98"/>
  <c r="G98"/>
  <c r="F98"/>
  <c r="J97"/>
  <c r="I97"/>
  <c r="H97"/>
  <c r="G97"/>
  <c r="F97"/>
  <c r="E92"/>
  <c r="J91"/>
  <c r="I91"/>
  <c r="H91"/>
  <c r="G91"/>
  <c r="F91"/>
  <c r="J89"/>
  <c r="J92" s="1"/>
  <c r="I89"/>
  <c r="H89"/>
  <c r="H92" s="1"/>
  <c r="G89"/>
  <c r="F89"/>
  <c r="F92" s="1"/>
  <c r="E87"/>
  <c r="J86"/>
  <c r="I86"/>
  <c r="H86"/>
  <c r="G86"/>
  <c r="F86"/>
  <c r="J85"/>
  <c r="I85"/>
  <c r="H85"/>
  <c r="G85"/>
  <c r="F85"/>
  <c r="J84"/>
  <c r="I84"/>
  <c r="H84"/>
  <c r="G84"/>
  <c r="F84"/>
  <c r="J82"/>
  <c r="I82"/>
  <c r="H82"/>
  <c r="G82"/>
  <c r="F82"/>
  <c r="J81"/>
  <c r="I81"/>
  <c r="H81"/>
  <c r="G81"/>
  <c r="F81"/>
  <c r="J79"/>
  <c r="I79"/>
  <c r="H79"/>
  <c r="G79"/>
  <c r="F79"/>
  <c r="J77"/>
  <c r="I77"/>
  <c r="I87" s="1"/>
  <c r="H77"/>
  <c r="G77"/>
  <c r="G87" s="1"/>
  <c r="F77"/>
  <c r="J73"/>
  <c r="I73"/>
  <c r="H73"/>
  <c r="G73"/>
  <c r="F73"/>
  <c r="J71"/>
  <c r="I71"/>
  <c r="H71"/>
  <c r="G71"/>
  <c r="F71"/>
  <c r="J70"/>
  <c r="J74" s="1"/>
  <c r="I70"/>
  <c r="H70"/>
  <c r="H74" s="1"/>
  <c r="G70"/>
  <c r="F70"/>
  <c r="F74" s="1"/>
  <c r="J69"/>
  <c r="I69"/>
  <c r="I74" s="1"/>
  <c r="H69"/>
  <c r="G69"/>
  <c r="G74" s="1"/>
  <c r="F69"/>
  <c r="E64"/>
  <c r="J63"/>
  <c r="I63"/>
  <c r="I64" s="1"/>
  <c r="H63"/>
  <c r="G63"/>
  <c r="G64" s="1"/>
  <c r="F63"/>
  <c r="J62"/>
  <c r="J64" s="1"/>
  <c r="I62"/>
  <c r="H62"/>
  <c r="H64" s="1"/>
  <c r="G62"/>
  <c r="F62"/>
  <c r="F64" s="1"/>
  <c r="E60"/>
  <c r="J59"/>
  <c r="I59"/>
  <c r="H59"/>
  <c r="G59"/>
  <c r="F59"/>
  <c r="J58"/>
  <c r="I58"/>
  <c r="H58"/>
  <c r="G58"/>
  <c r="F58"/>
  <c r="J57"/>
  <c r="I57"/>
  <c r="H57"/>
  <c r="G57"/>
  <c r="F57"/>
  <c r="J56"/>
  <c r="I56"/>
  <c r="H56"/>
  <c r="G56"/>
  <c r="F56"/>
  <c r="J55"/>
  <c r="I55"/>
  <c r="H55"/>
  <c r="G55"/>
  <c r="F55"/>
  <c r="J54"/>
  <c r="I54"/>
  <c r="H54"/>
  <c r="G54"/>
  <c r="F54"/>
  <c r="J53"/>
  <c r="I53"/>
  <c r="H53"/>
  <c r="G53"/>
  <c r="F53"/>
  <c r="J52"/>
  <c r="I52"/>
  <c r="H52"/>
  <c r="G52"/>
  <c r="F52"/>
  <c r="E65"/>
  <c r="J47"/>
  <c r="I47"/>
  <c r="H47"/>
  <c r="G47"/>
  <c r="F47"/>
  <c r="J46"/>
  <c r="I46"/>
  <c r="H46"/>
  <c r="G46"/>
  <c r="F46"/>
  <c r="J45"/>
  <c r="I45"/>
  <c r="H45"/>
  <c r="G45"/>
  <c r="F45"/>
  <c r="J44"/>
  <c r="I44"/>
  <c r="H44"/>
  <c r="G44"/>
  <c r="F44"/>
  <c r="E39"/>
  <c r="J38"/>
  <c r="I38"/>
  <c r="H38"/>
  <c r="G38"/>
  <c r="F38"/>
  <c r="J37"/>
  <c r="I37"/>
  <c r="I39" s="1"/>
  <c r="H37"/>
  <c r="G37"/>
  <c r="G39" s="1"/>
  <c r="F37"/>
  <c r="J34"/>
  <c r="I34"/>
  <c r="H34"/>
  <c r="G34"/>
  <c r="F34"/>
  <c r="J33"/>
  <c r="I33"/>
  <c r="H33"/>
  <c r="G33"/>
  <c r="F33"/>
  <c r="J32"/>
  <c r="I32"/>
  <c r="H32"/>
  <c r="G32"/>
  <c r="F32"/>
  <c r="J31"/>
  <c r="I31"/>
  <c r="G31"/>
  <c r="F31"/>
  <c r="J29"/>
  <c r="I29"/>
  <c r="H29"/>
  <c r="G29"/>
  <c r="F29"/>
  <c r="J27"/>
  <c r="I27"/>
  <c r="I35" s="1"/>
  <c r="H27"/>
  <c r="G27"/>
  <c r="G35" s="1"/>
  <c r="F27"/>
  <c r="E40"/>
  <c r="J22"/>
  <c r="I22"/>
  <c r="H22"/>
  <c r="G22"/>
  <c r="F22"/>
  <c r="J21"/>
  <c r="I21"/>
  <c r="H21"/>
  <c r="G21"/>
  <c r="F21"/>
  <c r="J19"/>
  <c r="I19"/>
  <c r="I24" s="1"/>
  <c r="H19"/>
  <c r="G19"/>
  <c r="G24" s="1"/>
  <c r="F19"/>
  <c r="J17"/>
  <c r="J24" s="1"/>
  <c r="I17"/>
  <c r="H17"/>
  <c r="H24" s="1"/>
  <c r="G17"/>
  <c r="F17"/>
  <c r="F24" s="1"/>
  <c r="I234" i="1"/>
  <c r="H234"/>
  <c r="G234"/>
  <c r="F234"/>
  <c r="J132"/>
  <c r="H132"/>
  <c r="G132"/>
  <c r="F132"/>
  <c r="F79"/>
  <c r="G79"/>
  <c r="H79"/>
  <c r="J79"/>
  <c r="I79"/>
  <c r="F63"/>
  <c r="E35"/>
  <c r="I21"/>
  <c r="J21"/>
  <c r="H21"/>
  <c r="G21"/>
  <c r="F21"/>
  <c r="G265" i="2" l="1"/>
  <c r="I265"/>
  <c r="G254"/>
  <c r="G270" s="1"/>
  <c r="I254"/>
  <c r="I270" s="1"/>
  <c r="I271" s="1"/>
  <c r="F254"/>
  <c r="F270" s="1"/>
  <c r="H254"/>
  <c r="H270" s="1"/>
  <c r="J254"/>
  <c r="J270" s="1"/>
  <c r="H240"/>
  <c r="H245" s="1"/>
  <c r="F240"/>
  <c r="F245" s="1"/>
  <c r="G230"/>
  <c r="G245" s="1"/>
  <c r="I230"/>
  <c r="I245" s="1"/>
  <c r="I246" s="1"/>
  <c r="G216"/>
  <c r="G221" s="1"/>
  <c r="I216"/>
  <c r="I221" s="1"/>
  <c r="I222" s="1"/>
  <c r="J204"/>
  <c r="J221" s="1"/>
  <c r="G195"/>
  <c r="I195"/>
  <c r="I196" s="1"/>
  <c r="F195"/>
  <c r="H195"/>
  <c r="J190"/>
  <c r="J195" s="1"/>
  <c r="G165"/>
  <c r="I165"/>
  <c r="G154"/>
  <c r="G170" s="1"/>
  <c r="I154"/>
  <c r="I170" s="1"/>
  <c r="I171" s="1"/>
  <c r="F154"/>
  <c r="F170" s="1"/>
  <c r="H154"/>
  <c r="H170" s="1"/>
  <c r="J154"/>
  <c r="J170" s="1"/>
  <c r="G139"/>
  <c r="G144" s="1"/>
  <c r="I139"/>
  <c r="I144" s="1"/>
  <c r="I145" s="1"/>
  <c r="F128"/>
  <c r="F144" s="1"/>
  <c r="H128"/>
  <c r="H144" s="1"/>
  <c r="J128"/>
  <c r="J144" s="1"/>
  <c r="G113"/>
  <c r="I113"/>
  <c r="G102"/>
  <c r="G119" s="1"/>
  <c r="I102"/>
  <c r="I119" s="1"/>
  <c r="I120" s="1"/>
  <c r="F102"/>
  <c r="F119" s="1"/>
  <c r="H102"/>
  <c r="H119" s="1"/>
  <c r="J102"/>
  <c r="J119" s="1"/>
  <c r="E119"/>
  <c r="G92"/>
  <c r="I92"/>
  <c r="G93"/>
  <c r="I93"/>
  <c r="I94" s="1"/>
  <c r="F87"/>
  <c r="F93" s="1"/>
  <c r="H87"/>
  <c r="J87"/>
  <c r="J93" s="1"/>
  <c r="H93"/>
  <c r="E93"/>
  <c r="F60"/>
  <c r="H60"/>
  <c r="J60"/>
  <c r="G60"/>
  <c r="I60"/>
  <c r="F49"/>
  <c r="F65" s="1"/>
  <c r="H49"/>
  <c r="H65" s="1"/>
  <c r="J49"/>
  <c r="J65" s="1"/>
  <c r="G49"/>
  <c r="G65" s="1"/>
  <c r="I49"/>
  <c r="I65" s="1"/>
  <c r="I66" s="1"/>
  <c r="G40"/>
  <c r="I40"/>
  <c r="I41" s="1"/>
  <c r="F39"/>
  <c r="H39"/>
  <c r="J39"/>
  <c r="J35"/>
  <c r="F35"/>
  <c r="H35"/>
  <c r="F40"/>
  <c r="H40"/>
  <c r="J234"/>
  <c r="J240" s="1"/>
  <c r="J245" s="1"/>
  <c r="J165" i="1"/>
  <c r="J154"/>
  <c r="J35"/>
  <c r="J39"/>
  <c r="J24"/>
  <c r="F270"/>
  <c r="G270"/>
  <c r="H270"/>
  <c r="I270"/>
  <c r="J270"/>
  <c r="E270"/>
  <c r="F266"/>
  <c r="G266"/>
  <c r="H266"/>
  <c r="I266"/>
  <c r="J266"/>
  <c r="E266"/>
  <c r="G255"/>
  <c r="H255"/>
  <c r="I255"/>
  <c r="J255"/>
  <c r="F255"/>
  <c r="E255"/>
  <c r="F245"/>
  <c r="G245"/>
  <c r="H245"/>
  <c r="I245"/>
  <c r="J245"/>
  <c r="E245"/>
  <c r="F241"/>
  <c r="G241"/>
  <c r="H241"/>
  <c r="I241"/>
  <c r="J241"/>
  <c r="E241"/>
  <c r="G230"/>
  <c r="H230"/>
  <c r="I230"/>
  <c r="J230"/>
  <c r="F230"/>
  <c r="E230"/>
  <c r="F220"/>
  <c r="G220"/>
  <c r="H220"/>
  <c r="I220"/>
  <c r="J220"/>
  <c r="E220"/>
  <c r="F216"/>
  <c r="G216"/>
  <c r="H216"/>
  <c r="I216"/>
  <c r="J216"/>
  <c r="E216"/>
  <c r="G204"/>
  <c r="H204"/>
  <c r="I204"/>
  <c r="J204"/>
  <c r="F204"/>
  <c r="E204"/>
  <c r="F194"/>
  <c r="G194"/>
  <c r="H194"/>
  <c r="I194"/>
  <c r="J194"/>
  <c r="E194"/>
  <c r="F190"/>
  <c r="G190"/>
  <c r="H190"/>
  <c r="I190"/>
  <c r="J190"/>
  <c r="E190"/>
  <c r="G179"/>
  <c r="H179"/>
  <c r="I179"/>
  <c r="J179"/>
  <c r="E179"/>
  <c r="F169"/>
  <c r="G169"/>
  <c r="H169"/>
  <c r="I169"/>
  <c r="J169"/>
  <c r="E169"/>
  <c r="F165"/>
  <c r="G165"/>
  <c r="H165"/>
  <c r="E165"/>
  <c r="G154"/>
  <c r="H154"/>
  <c r="F154"/>
  <c r="E154"/>
  <c r="F143"/>
  <c r="G143"/>
  <c r="H143"/>
  <c r="I143"/>
  <c r="J143"/>
  <c r="E143"/>
  <c r="F139"/>
  <c r="G139"/>
  <c r="H139"/>
  <c r="I139"/>
  <c r="J139"/>
  <c r="E139"/>
  <c r="G128"/>
  <c r="H128"/>
  <c r="I128"/>
  <c r="J128"/>
  <c r="F128"/>
  <c r="E128"/>
  <c r="F118"/>
  <c r="G118"/>
  <c r="H118"/>
  <c r="I118"/>
  <c r="J118"/>
  <c r="F113"/>
  <c r="G113"/>
  <c r="H113"/>
  <c r="I113"/>
  <c r="J113"/>
  <c r="E113"/>
  <c r="G102"/>
  <c r="H102"/>
  <c r="I102"/>
  <c r="J102"/>
  <c r="F102"/>
  <c r="E102"/>
  <c r="F92"/>
  <c r="G92"/>
  <c r="H92"/>
  <c r="I92"/>
  <c r="J92"/>
  <c r="E92"/>
  <c r="F87"/>
  <c r="G87"/>
  <c r="H87"/>
  <c r="I87"/>
  <c r="J87"/>
  <c r="E87"/>
  <c r="G74"/>
  <c r="H74"/>
  <c r="I74"/>
  <c r="J74"/>
  <c r="F74"/>
  <c r="E74"/>
  <c r="F64"/>
  <c r="G64"/>
  <c r="H64"/>
  <c r="I64"/>
  <c r="J64"/>
  <c r="E64"/>
  <c r="F60"/>
  <c r="G60"/>
  <c r="H60"/>
  <c r="I60"/>
  <c r="J60"/>
  <c r="E60"/>
  <c r="G49"/>
  <c r="H49"/>
  <c r="I49"/>
  <c r="J49"/>
  <c r="F49"/>
  <c r="E49"/>
  <c r="F39"/>
  <c r="G39"/>
  <c r="H39"/>
  <c r="I39"/>
  <c r="E39"/>
  <c r="G35"/>
  <c r="I35"/>
  <c r="F35"/>
  <c r="G24"/>
  <c r="H24"/>
  <c r="E24"/>
  <c r="J40" i="2" l="1"/>
  <c r="J271" i="1"/>
  <c r="F271"/>
  <c r="F246"/>
  <c r="F195"/>
  <c r="I165"/>
  <c r="I154"/>
  <c r="F144"/>
  <c r="F93"/>
  <c r="I119"/>
  <c r="I120" s="1"/>
  <c r="I221"/>
  <c r="I222" s="1"/>
  <c r="G246"/>
  <c r="E93"/>
  <c r="E144"/>
  <c r="E195"/>
  <c r="E246"/>
  <c r="E271"/>
  <c r="G271"/>
  <c r="I65"/>
  <c r="I66" s="1"/>
  <c r="G93"/>
  <c r="G144"/>
  <c r="G195"/>
  <c r="I271"/>
  <c r="I272" s="1"/>
  <c r="H271"/>
  <c r="H35"/>
  <c r="H40" s="1"/>
  <c r="I24"/>
  <c r="I40" s="1"/>
  <c r="I41" s="1"/>
  <c r="J65"/>
  <c r="H93"/>
  <c r="J119"/>
  <c r="H144"/>
  <c r="J170"/>
  <c r="H195"/>
  <c r="J221"/>
  <c r="H246"/>
  <c r="J40"/>
  <c r="F65"/>
  <c r="G65"/>
  <c r="I93"/>
  <c r="I94" s="1"/>
  <c r="F119"/>
  <c r="G119"/>
  <c r="I144"/>
  <c r="I145" s="1"/>
  <c r="F170"/>
  <c r="G170"/>
  <c r="I195"/>
  <c r="I196" s="1"/>
  <c r="F221"/>
  <c r="G221"/>
  <c r="I246"/>
  <c r="I247" s="1"/>
  <c r="E40"/>
  <c r="G40"/>
  <c r="E65"/>
  <c r="H65"/>
  <c r="J93"/>
  <c r="E119"/>
  <c r="H119"/>
  <c r="J144"/>
  <c r="E170"/>
  <c r="H170"/>
  <c r="J195"/>
  <c r="E221"/>
  <c r="H221"/>
  <c r="J246"/>
  <c r="F24"/>
  <c r="F40" s="1"/>
  <c r="I170" l="1"/>
  <c r="I171" s="1"/>
</calcChain>
</file>

<file path=xl/sharedStrings.xml><?xml version="1.0" encoding="utf-8"?>
<sst xmlns="http://schemas.openxmlformats.org/spreadsheetml/2006/main" count="731" uniqueCount="302">
  <si>
    <t>Утверждаю</t>
  </si>
  <si>
    <t>Примерное 10-дневное меню</t>
  </si>
  <si>
    <t>посещающих дошкольные образовательные учреждения</t>
  </si>
  <si>
    <t>Номер рецептуры</t>
  </si>
  <si>
    <t>Наименование блюд, продуктов</t>
  </si>
  <si>
    <t>Выход</t>
  </si>
  <si>
    <t>Химический состав</t>
  </si>
  <si>
    <t>1 ДЕНЬ</t>
  </si>
  <si>
    <t>Завтрак</t>
  </si>
  <si>
    <t>13\10</t>
  </si>
  <si>
    <t>Витамин С, мг</t>
  </si>
  <si>
    <t>1\13</t>
  </si>
  <si>
    <t>Обед</t>
  </si>
  <si>
    <t>10-00 час</t>
  </si>
  <si>
    <t>гренками</t>
  </si>
  <si>
    <t>Хлеб пшеничный витамин.</t>
  </si>
  <si>
    <t>Хлеб ржаной</t>
  </si>
  <si>
    <t>Полдник</t>
  </si>
  <si>
    <t>Молоко кипяченое</t>
  </si>
  <si>
    <t>Итого за день</t>
  </si>
  <si>
    <t>2  ДЕНЬ</t>
  </si>
  <si>
    <t>маслом</t>
  </si>
  <si>
    <t>3\3</t>
  </si>
  <si>
    <t>Картофельное пюре</t>
  </si>
  <si>
    <t>4\10</t>
  </si>
  <si>
    <t>Компот из кураги</t>
  </si>
  <si>
    <t>Какао с молоком</t>
  </si>
  <si>
    <t>14\10</t>
  </si>
  <si>
    <t>3  ДЕНЬ</t>
  </si>
  <si>
    <t>Напиток из шиповника</t>
  </si>
  <si>
    <t>15\10</t>
  </si>
  <si>
    <t>4  ДЕНЬ</t>
  </si>
  <si>
    <t>6\10</t>
  </si>
  <si>
    <t>Компот из сухофруктов</t>
  </si>
  <si>
    <t>Кисломолочные продукты</t>
  </si>
  <si>
    <t>в ассортименте</t>
  </si>
  <si>
    <t>2\6</t>
  </si>
  <si>
    <t>5  ДЕНЬ</t>
  </si>
  <si>
    <t>9\2</t>
  </si>
  <si>
    <t>с маслом</t>
  </si>
  <si>
    <t>Рагу из овощей</t>
  </si>
  <si>
    <t>18\3</t>
  </si>
  <si>
    <t>7  ДЕНЬ</t>
  </si>
  <si>
    <t>8  ДЕНЬ</t>
  </si>
  <si>
    <t>9  ДЕНЬ</t>
  </si>
  <si>
    <t>молочная с маслом</t>
  </si>
  <si>
    <t>8\4</t>
  </si>
  <si>
    <t>11\10</t>
  </si>
  <si>
    <t>Ватрушка со сметаной</t>
  </si>
  <si>
    <t>6\12</t>
  </si>
  <si>
    <t xml:space="preserve"> 10  ДЕНЬ</t>
  </si>
  <si>
    <t>2\4</t>
  </si>
  <si>
    <t>Салат из свежей капусты</t>
  </si>
  <si>
    <t>Сыр</t>
  </si>
  <si>
    <t>% ккал</t>
  </si>
  <si>
    <t>6 день</t>
  </si>
  <si>
    <t>Каша геркулесовая со сл.</t>
  </si>
  <si>
    <t>5\13</t>
  </si>
  <si>
    <t>13\1</t>
  </si>
  <si>
    <t>Суп-пюре из разных овощей</t>
  </si>
  <si>
    <t>27\2</t>
  </si>
  <si>
    <t>Картофель в молоке</t>
  </si>
  <si>
    <t>2\3</t>
  </si>
  <si>
    <t>Кофейный напиток с молоком</t>
  </si>
  <si>
    <t>Каша гречневая молочная с м</t>
  </si>
  <si>
    <t>6\1</t>
  </si>
  <si>
    <t>и курой</t>
  </si>
  <si>
    <t xml:space="preserve">Рассольник со сметаной  </t>
  </si>
  <si>
    <t>1\9</t>
  </si>
  <si>
    <t>15\12</t>
  </si>
  <si>
    <t>Кисло-молочные продукты</t>
  </si>
  <si>
    <t>9\5</t>
  </si>
  <si>
    <t>2\11</t>
  </si>
  <si>
    <t>31\1</t>
  </si>
  <si>
    <t xml:space="preserve"> с  огурцами</t>
  </si>
  <si>
    <t xml:space="preserve">Салат из отварного картофеля   </t>
  </si>
  <si>
    <t>Свекольник со сметаной</t>
  </si>
  <si>
    <t>с мясом</t>
  </si>
  <si>
    <t>5\2</t>
  </si>
  <si>
    <t xml:space="preserve">Фрикадельки из говядины </t>
  </si>
  <si>
    <t>тушеные в соусе</t>
  </si>
  <si>
    <t>23\8</t>
  </si>
  <si>
    <t>Кисель из сухофруктов</t>
  </si>
  <si>
    <t>9\10</t>
  </si>
  <si>
    <t>1\12</t>
  </si>
  <si>
    <t>Омлет запеченый</t>
  </si>
  <si>
    <t xml:space="preserve">Сыр </t>
  </si>
  <si>
    <t>24\1</t>
  </si>
  <si>
    <t>Щи из св капусты со сметаной</t>
  </si>
  <si>
    <t>мясом</t>
  </si>
  <si>
    <t>Бифштекс из говядины</t>
  </si>
  <si>
    <t>13\8</t>
  </si>
  <si>
    <t>Компот из св. фруктов</t>
  </si>
  <si>
    <t>Пирожок с яблоком</t>
  </si>
  <si>
    <t>Каша ассорти рис, пшено</t>
  </si>
  <si>
    <t>Салат из моркови с изюмом</t>
  </si>
  <si>
    <t>Капуста тушеная с маслом</t>
  </si>
  <si>
    <t>Суфле из мяса говядины</t>
  </si>
  <si>
    <t>Кондитерские изделия</t>
  </si>
  <si>
    <t>Каша ячневая молочная</t>
  </si>
  <si>
    <t>Салат из моркови с раст/м</t>
  </si>
  <si>
    <t>Борщ из свежей капусты</t>
  </si>
  <si>
    <t>с мясо., сметаной</t>
  </si>
  <si>
    <t>Гуляш из мяса говядины</t>
  </si>
  <si>
    <t>Компот из кураги и изюма</t>
  </si>
  <si>
    <t>Хлеб пшеничный витам.</t>
  </si>
  <si>
    <t>Сдоба обыкновенная</t>
  </si>
  <si>
    <t>Каша пшенная молочна с мас.</t>
  </si>
  <si>
    <t>Суп-пюре из моркови с курой</t>
  </si>
  <si>
    <t>Картофель отварной</t>
  </si>
  <si>
    <t>Мясо куры в соусе</t>
  </si>
  <si>
    <t>Хлеб пшеничный</t>
  </si>
  <si>
    <t>Крендель с сахаром</t>
  </si>
  <si>
    <t>Суфле из творога</t>
  </si>
  <si>
    <t>с кукурузой</t>
  </si>
  <si>
    <t xml:space="preserve">Суп овощной с мясными </t>
  </si>
  <si>
    <t>Салат из свеклы с чернослив.</t>
  </si>
  <si>
    <t>Суп крестьянский со сметаной</t>
  </si>
  <si>
    <t>и мясом</t>
  </si>
  <si>
    <t>Мясо говяд.тушеной с овощам</t>
  </si>
  <si>
    <t>Компот из свежих фруктов</t>
  </si>
  <si>
    <t>Каша рисовая молочная с/м</t>
  </si>
  <si>
    <t xml:space="preserve">Салат из картофеля с </t>
  </si>
  <si>
    <t>зеленым горошком</t>
  </si>
  <si>
    <t xml:space="preserve">Суп-пюре из моркови  с </t>
  </si>
  <si>
    <t>мясом и гренками</t>
  </si>
  <si>
    <t>Суфле-рыбка</t>
  </si>
  <si>
    <t>16\4</t>
  </si>
  <si>
    <t>12\10</t>
  </si>
  <si>
    <t>8\3</t>
  </si>
  <si>
    <t>14\4</t>
  </si>
  <si>
    <t>10\1</t>
  </si>
  <si>
    <t>2\2</t>
  </si>
  <si>
    <t>43\3</t>
  </si>
  <si>
    <t>4\1</t>
  </si>
  <si>
    <t>7\12</t>
  </si>
  <si>
    <t>Руководитель МАДОУ</t>
  </si>
  <si>
    <t>Детский сад № 9"Улыбка"</t>
  </si>
  <si>
    <t>Томилова Е.П.___________________________</t>
  </si>
  <si>
    <t>приказ №___от_________</t>
  </si>
  <si>
    <t>Салат из капусты с морковью</t>
  </si>
  <si>
    <t xml:space="preserve">Картофельное пюре </t>
  </si>
  <si>
    <t>с молочным соусом</t>
  </si>
  <si>
    <t>7\2</t>
  </si>
  <si>
    <t>12\1</t>
  </si>
  <si>
    <t>26\8</t>
  </si>
  <si>
    <t>11\8</t>
  </si>
  <si>
    <t>11\4</t>
  </si>
  <si>
    <t>19\5</t>
  </si>
  <si>
    <t>Компот из сухофр.</t>
  </si>
  <si>
    <t>26\1</t>
  </si>
  <si>
    <t>185\2010</t>
  </si>
  <si>
    <t>3\7</t>
  </si>
  <si>
    <t>32\1</t>
  </si>
  <si>
    <t>Пирожок с морковью</t>
  </si>
  <si>
    <t>Ватрушка с повидлом</t>
  </si>
  <si>
    <t>15\2</t>
  </si>
  <si>
    <t>26\2</t>
  </si>
  <si>
    <t>20\1</t>
  </si>
  <si>
    <t>8\12</t>
  </si>
  <si>
    <t>1\3</t>
  </si>
  <si>
    <t>2\9</t>
  </si>
  <si>
    <t>3\8</t>
  </si>
  <si>
    <t>Кондитер. изделия/печенье/</t>
  </si>
  <si>
    <t>29\8</t>
  </si>
  <si>
    <t>14\7</t>
  </si>
  <si>
    <t>Итого:</t>
  </si>
  <si>
    <t>Сок или фрукты в ассортименте</t>
  </si>
  <si>
    <t>с мясом, гренками</t>
  </si>
  <si>
    <t>Итого за день:</t>
  </si>
  <si>
    <t xml:space="preserve">Запеканка из творога </t>
  </si>
  <si>
    <t>Салат из отвар.свеклы с яблок</t>
  </si>
  <si>
    <t>14\2</t>
  </si>
  <si>
    <t xml:space="preserve">Суп из овощей </t>
  </si>
  <si>
    <t>со сметаной</t>
  </si>
  <si>
    <t>Соус молочный</t>
  </si>
  <si>
    <t>Напиток кофейный с молоком</t>
  </si>
  <si>
    <t xml:space="preserve">Хлеб пшеничный </t>
  </si>
  <si>
    <t xml:space="preserve">Чай </t>
  </si>
  <si>
    <t>с лимоном</t>
  </si>
  <si>
    <t>белки,гр</t>
  </si>
  <si>
    <t>жиры, гр</t>
  </si>
  <si>
    <t>углеводы гр</t>
  </si>
  <si>
    <t>Энергет ценность ККАЛ</t>
  </si>
  <si>
    <t>Салат из припущенной моркови</t>
  </si>
  <si>
    <t>и  яблок с растительным маслом</t>
  </si>
  <si>
    <t>Рыбные кнелли</t>
  </si>
  <si>
    <t>Колбаска витаминная</t>
  </si>
  <si>
    <t>Пирожки с джемом</t>
  </si>
  <si>
    <t xml:space="preserve">Пирожок </t>
  </si>
  <si>
    <t>с капустой, яйцом</t>
  </si>
  <si>
    <t xml:space="preserve">с лимоном </t>
  </si>
  <si>
    <t>Макароны отварные с масл.</t>
  </si>
  <si>
    <t xml:space="preserve"> с маслом</t>
  </si>
  <si>
    <t>фрикадельками, сметаной</t>
  </si>
  <si>
    <t>Рулет мясной фаршир. яйцом</t>
  </si>
  <si>
    <t xml:space="preserve">Кофейный напиток с молоком </t>
  </si>
  <si>
    <t xml:space="preserve">Салат из отварной свеклыс р/м </t>
  </si>
  <si>
    <t>Чай  с молоком</t>
  </si>
  <si>
    <t>для детей в возрасте от 1,5 до 3 лет</t>
  </si>
  <si>
    <t>Каша ячневая молочная со сл.</t>
  </si>
  <si>
    <t>Салат из капусты с морковью, рас</t>
  </si>
  <si>
    <t>тительным маслом</t>
  </si>
  <si>
    <t>5\1</t>
  </si>
  <si>
    <t>30\2</t>
  </si>
  <si>
    <t>Уха рыбацкая</t>
  </si>
  <si>
    <t>Макаронные изделия</t>
  </si>
  <si>
    <t>12\8</t>
  </si>
  <si>
    <t>Хлеб пшеничный с маслом</t>
  </si>
  <si>
    <t>Пирожок с морковью и изюмом</t>
  </si>
  <si>
    <t xml:space="preserve">Кисло-молочные </t>
  </si>
  <si>
    <t>Соус молочный сладкий</t>
  </si>
  <si>
    <t>Помидор свежий порционно</t>
  </si>
  <si>
    <t>Суп овощной с мясными фрикадель</t>
  </si>
  <si>
    <t>ками, сметаной</t>
  </si>
  <si>
    <t>Капуста тушеная</t>
  </si>
  <si>
    <t>Бифштекс рубленный</t>
  </si>
  <si>
    <t>Ватрушка с яблоками</t>
  </si>
  <si>
    <t>Молоко</t>
  </si>
  <si>
    <t>Каша пшенная молочная с маслом</t>
  </si>
  <si>
    <t>Огурец свежий порционно</t>
  </si>
  <si>
    <t>курой</t>
  </si>
  <si>
    <t>Свекольник со сметаной,</t>
  </si>
  <si>
    <t>№64</t>
  </si>
  <si>
    <t xml:space="preserve">Колбаски "витаминные" </t>
  </si>
  <si>
    <t>40\8</t>
  </si>
  <si>
    <t>Сосиски отварные</t>
  </si>
  <si>
    <t>27\8</t>
  </si>
  <si>
    <t xml:space="preserve">Кнели мясные </t>
  </si>
  <si>
    <t>Каша гречневая молочная с м/сл.</t>
  </si>
  <si>
    <t>Чай с молоком</t>
  </si>
  <si>
    <t>6,\4</t>
  </si>
  <si>
    <t>5\4</t>
  </si>
  <si>
    <t>Каша манная</t>
  </si>
  <si>
    <t>Каша молочная ассорти(рис,пшено)</t>
  </si>
  <si>
    <t>с маслом сливочным</t>
  </si>
  <si>
    <t>Салат из капусты с кукурузой р/м</t>
  </si>
  <si>
    <t>Каша овсяная молочная с маслом</t>
  </si>
  <si>
    <t>сливочным</t>
  </si>
  <si>
    <t>8\1</t>
  </si>
  <si>
    <t>Салат из капусты с яблоками, р/м</t>
  </si>
  <si>
    <t>Салат из картофеля с огурцами и</t>
  </si>
  <si>
    <t>растительным маслом</t>
  </si>
  <si>
    <t>Суп из овощей со сметаной,</t>
  </si>
  <si>
    <t>Пюре картофельное</t>
  </si>
  <si>
    <t>Кондитерские изделия (пряники)</t>
  </si>
  <si>
    <t>Чай с лимоном</t>
  </si>
  <si>
    <t>Суп-пюре из овощей с гренками,</t>
  </si>
  <si>
    <t>31\8</t>
  </si>
  <si>
    <t>Голубцы с мясом и рисом(ленивые)</t>
  </si>
  <si>
    <t>5\10</t>
  </si>
  <si>
    <t>Компот из чернослива и изюма</t>
  </si>
  <si>
    <t>5\12</t>
  </si>
  <si>
    <t>Ватрушка с творогом</t>
  </si>
  <si>
    <t>10\2</t>
  </si>
  <si>
    <t>Рассольник домашний со сметаной,</t>
  </si>
  <si>
    <t>4\3</t>
  </si>
  <si>
    <t>Картофельное пюре с морковью</t>
  </si>
  <si>
    <t>7\10</t>
  </si>
  <si>
    <t>Компот из сухофруктов и шиповника</t>
  </si>
  <si>
    <t>18\2</t>
  </si>
  <si>
    <t>Суп картофельный с макаронными</t>
  </si>
  <si>
    <t>изделиями, курой</t>
  </si>
  <si>
    <t>36\3</t>
  </si>
  <si>
    <t>Гарнир овощной сборный</t>
  </si>
  <si>
    <t>31\2</t>
  </si>
  <si>
    <t>38\8</t>
  </si>
  <si>
    <t>44\3</t>
  </si>
  <si>
    <t>Греча рассыпчатая с овощами</t>
  </si>
  <si>
    <t>Чай</t>
  </si>
  <si>
    <t>8\5</t>
  </si>
  <si>
    <t>Сырники из творога с морковью</t>
  </si>
  <si>
    <t>Кисель плодовоягодный</t>
  </si>
  <si>
    <t>ТТК 2003</t>
  </si>
  <si>
    <t>Рулет из рыбы</t>
  </si>
  <si>
    <t>10\10</t>
  </si>
  <si>
    <t>Пирожок с морковью и джемом</t>
  </si>
  <si>
    <t>17-2\12</t>
  </si>
  <si>
    <t>№43</t>
  </si>
  <si>
    <t>Кондитер. Изд. /пряники,печенье/</t>
  </si>
  <si>
    <t>Компот из шиповника и сухофруктов</t>
  </si>
  <si>
    <t>23\2</t>
  </si>
  <si>
    <t>Суп молочный с лапшой</t>
  </si>
  <si>
    <t>6\11</t>
  </si>
  <si>
    <t>Соус сметанный</t>
  </si>
  <si>
    <t>Зап-ка карт-ная, фарш.мясом говяд</t>
  </si>
  <si>
    <t>4\11</t>
  </si>
  <si>
    <t>Соус молочный с овощами</t>
  </si>
  <si>
    <t xml:space="preserve">Суп-пюре из моркови   </t>
  </si>
  <si>
    <t>25\5</t>
  </si>
  <si>
    <t>13\12</t>
  </si>
  <si>
    <t>6\2</t>
  </si>
  <si>
    <t>16\7</t>
  </si>
  <si>
    <t>150\10</t>
  </si>
  <si>
    <t>10\8</t>
  </si>
  <si>
    <t>Печень в молочном соусе</t>
  </si>
  <si>
    <t>8\9</t>
  </si>
  <si>
    <t>Суфле из мяса кур</t>
  </si>
  <si>
    <t>для организации питания детей в возрасте от 1,5 до 3 лет</t>
  </si>
  <si>
    <t xml:space="preserve">посещающих МАДОУ Детский сад "Улыбка"с 10,5часовым </t>
  </si>
  <si>
    <t xml:space="preserve"> пребыванием</t>
  </si>
  <si>
    <t>Цикличное 20-дневное меню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</si>
</sst>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2" xfId="0" applyFont="1" applyBorder="1"/>
    <xf numFmtId="164" fontId="1" fillId="0" borderId="3" xfId="0" applyNumberFormat="1" applyFont="1" applyBorder="1" applyAlignment="1"/>
    <xf numFmtId="164" fontId="1" fillId="0" borderId="4" xfId="0" applyNumberFormat="1" applyFont="1" applyBorder="1" applyAlignment="1"/>
    <xf numFmtId="164" fontId="1" fillId="0" borderId="1" xfId="0" applyNumberFormat="1" applyFont="1" applyBorder="1"/>
    <xf numFmtId="164" fontId="5" fillId="0" borderId="3" xfId="0" applyNumberFormat="1" applyFont="1" applyBorder="1" applyAlignment="1"/>
    <xf numFmtId="164" fontId="5" fillId="0" borderId="4" xfId="0" applyNumberFormat="1" applyFont="1" applyBorder="1" applyAlignment="1"/>
    <xf numFmtId="164" fontId="5" fillId="0" borderId="5" xfId="0" applyNumberFormat="1" applyFont="1" applyBorder="1" applyAlignment="1"/>
    <xf numFmtId="164" fontId="5" fillId="0" borderId="3" xfId="0" applyNumberFormat="1" applyFont="1" applyBorder="1" applyAlignment="1">
      <alignment horizontal="left"/>
    </xf>
    <xf numFmtId="164" fontId="5" fillId="0" borderId="4" xfId="0" applyNumberFormat="1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/>
    <xf numFmtId="164" fontId="1" fillId="0" borderId="4" xfId="0" applyNumberFormat="1" applyFont="1" applyBorder="1" applyAlignment="1"/>
    <xf numFmtId="164" fontId="1" fillId="0" borderId="1" xfId="0" applyNumberFormat="1" applyFont="1" applyBorder="1"/>
    <xf numFmtId="164" fontId="1" fillId="3" borderId="3" xfId="0" applyNumberFormat="1" applyFont="1" applyFill="1" applyBorder="1"/>
    <xf numFmtId="164" fontId="1" fillId="3" borderId="4" xfId="0" applyNumberFormat="1" applyFont="1" applyFill="1" applyBorder="1"/>
    <xf numFmtId="164" fontId="1" fillId="3" borderId="5" xfId="0" applyNumberFormat="1" applyFont="1" applyFill="1" applyBorder="1"/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/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/>
    <xf numFmtId="2" fontId="1" fillId="0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1" fillId="0" borderId="0" xfId="0" applyFont="1" applyBorder="1"/>
    <xf numFmtId="164" fontId="1" fillId="0" borderId="1" xfId="0" applyNumberFormat="1" applyFont="1" applyBorder="1"/>
    <xf numFmtId="164" fontId="5" fillId="0" borderId="3" xfId="0" applyNumberFormat="1" applyFont="1" applyBorder="1" applyAlignment="1">
      <alignment horizontal="left"/>
    </xf>
    <xf numFmtId="164" fontId="5" fillId="0" borderId="4" xfId="0" applyNumberFormat="1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2" fontId="1" fillId="0" borderId="0" xfId="0" applyNumberFormat="1" applyFont="1"/>
    <xf numFmtId="164" fontId="1" fillId="0" borderId="1" xfId="0" applyNumberFormat="1" applyFont="1" applyBorder="1"/>
    <xf numFmtId="164" fontId="1" fillId="0" borderId="1" xfId="0" applyNumberFormat="1" applyFont="1" applyBorder="1"/>
    <xf numFmtId="164" fontId="1" fillId="0" borderId="1" xfId="0" applyNumberFormat="1" applyFont="1" applyBorder="1"/>
    <xf numFmtId="164" fontId="1" fillId="0" borderId="1" xfId="0" applyNumberFormat="1" applyFont="1" applyFill="1" applyBorder="1"/>
    <xf numFmtId="2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2" fontId="5" fillId="0" borderId="0" xfId="0" applyNumberFormat="1" applyFont="1"/>
    <xf numFmtId="0" fontId="1" fillId="0" borderId="0" xfId="0" applyFont="1" applyBorder="1"/>
    <xf numFmtId="164" fontId="1" fillId="0" borderId="1" xfId="0" applyNumberFormat="1" applyFont="1" applyBorder="1"/>
    <xf numFmtId="164" fontId="1" fillId="3" borderId="1" xfId="0" applyNumberFormat="1" applyFont="1" applyFill="1" applyBorder="1" applyAlignment="1">
      <alignment horizontal="left"/>
    </xf>
    <xf numFmtId="164" fontId="5" fillId="2" borderId="3" xfId="0" applyNumberFormat="1" applyFont="1" applyFill="1" applyBorder="1" applyAlignment="1">
      <alignment horizontal="left"/>
    </xf>
    <xf numFmtId="164" fontId="5" fillId="2" borderId="4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horizontal="left"/>
    </xf>
    <xf numFmtId="164" fontId="1" fillId="3" borderId="1" xfId="0" applyNumberFormat="1" applyFont="1" applyFill="1" applyBorder="1"/>
    <xf numFmtId="164" fontId="5" fillId="0" borderId="3" xfId="0" applyNumberFormat="1" applyFont="1" applyBorder="1" applyAlignment="1">
      <alignment horizontal="left"/>
    </xf>
    <xf numFmtId="164" fontId="5" fillId="0" borderId="4" xfId="0" applyNumberFormat="1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4" fontId="5" fillId="0" borderId="3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1" fillId="0" borderId="1" xfId="0" applyNumberFormat="1" applyFont="1" applyFill="1" applyBorder="1"/>
    <xf numFmtId="164" fontId="5" fillId="2" borderId="1" xfId="0" applyNumberFormat="1" applyFont="1" applyFill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2" fontId="2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Fill="1" applyBorder="1"/>
    <xf numFmtId="2" fontId="1" fillId="0" borderId="1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 shrinkToFit="1"/>
    </xf>
    <xf numFmtId="2" fontId="4" fillId="0" borderId="7" xfId="0" applyNumberFormat="1" applyFont="1" applyBorder="1" applyAlignment="1">
      <alignment horizontal="center" vertical="center" wrapText="1" shrinkToFit="1"/>
    </xf>
    <xf numFmtId="2" fontId="4" fillId="0" borderId="8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vertical="top" wrapText="1"/>
    </xf>
    <xf numFmtId="164" fontId="5" fillId="2" borderId="3" xfId="0" applyNumberFormat="1" applyFont="1" applyFill="1" applyBorder="1" applyAlignment="1"/>
    <xf numFmtId="164" fontId="5" fillId="2" borderId="4" xfId="0" applyNumberFormat="1" applyFont="1" applyFill="1" applyBorder="1" applyAlignment="1"/>
    <xf numFmtId="164" fontId="5" fillId="2" borderId="5" xfId="0" applyNumberFormat="1" applyFont="1" applyFill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5" xfId="0" applyNumberFormat="1" applyFont="1" applyBorder="1"/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5"/>
  <sheetViews>
    <sheetView tabSelected="1" topLeftCell="A22" workbookViewId="0">
      <selection activeCell="A2" sqref="A2:J55"/>
    </sheetView>
  </sheetViews>
  <sheetFormatPr defaultRowHeight="15"/>
  <cols>
    <col min="1" max="3" width="9.140625" style="1"/>
    <col min="4" max="4" width="14" style="1" customWidth="1"/>
    <col min="5" max="5" width="7.7109375" style="28" customWidth="1"/>
    <col min="6" max="6" width="6.42578125" style="29" customWidth="1"/>
    <col min="7" max="7" width="6.5703125" style="29" customWidth="1"/>
    <col min="8" max="8" width="8.42578125" style="29" customWidth="1"/>
    <col min="9" max="9" width="8.140625" style="29" customWidth="1"/>
    <col min="10" max="10" width="7.85546875" style="29" customWidth="1"/>
    <col min="11" max="16384" width="9.140625" style="1"/>
  </cols>
  <sheetData>
    <row r="1" spans="1:10" ht="7.5" customHeight="1"/>
    <row r="2" spans="1:10" ht="18.75">
      <c r="G2" s="81" t="s">
        <v>0</v>
      </c>
      <c r="H2" s="81"/>
      <c r="I2" s="81"/>
    </row>
    <row r="3" spans="1:10">
      <c r="G3" s="82" t="s">
        <v>136</v>
      </c>
      <c r="H3" s="82"/>
      <c r="I3" s="82"/>
    </row>
    <row r="4" spans="1:10">
      <c r="G4" s="82" t="s">
        <v>137</v>
      </c>
      <c r="H4" s="82"/>
      <c r="I4" s="82"/>
    </row>
    <row r="5" spans="1:10">
      <c r="G5" s="82" t="s">
        <v>138</v>
      </c>
      <c r="H5" s="82"/>
      <c r="I5" s="82"/>
    </row>
    <row r="6" spans="1:10">
      <c r="G6" s="83" t="s">
        <v>139</v>
      </c>
      <c r="H6" s="83"/>
      <c r="I6" s="83"/>
    </row>
    <row r="7" spans="1:10" ht="5.25" customHeight="1"/>
    <row r="8" spans="1:10" ht="15.75">
      <c r="A8" s="2"/>
      <c r="B8" s="20"/>
      <c r="C8" s="55" t="s">
        <v>301</v>
      </c>
      <c r="D8" s="55"/>
      <c r="E8" s="55"/>
      <c r="F8" s="55"/>
      <c r="G8" s="28"/>
      <c r="H8" s="28"/>
      <c r="I8" s="54"/>
      <c r="J8" s="54"/>
    </row>
    <row r="9" spans="1:10" ht="15.75">
      <c r="A9" s="2"/>
      <c r="B9" s="20"/>
      <c r="C9" s="55" t="s">
        <v>298</v>
      </c>
      <c r="D9" s="55"/>
      <c r="E9" s="55"/>
      <c r="F9" s="55"/>
      <c r="G9" s="28"/>
      <c r="H9" s="28"/>
      <c r="I9" s="54"/>
      <c r="J9" s="54"/>
    </row>
    <row r="10" spans="1:10" ht="15.75">
      <c r="A10" s="2"/>
      <c r="B10" s="56" t="s">
        <v>299</v>
      </c>
      <c r="C10" s="56"/>
      <c r="D10" s="56"/>
      <c r="E10" s="56"/>
      <c r="F10" s="56"/>
      <c r="G10" s="56"/>
      <c r="H10" s="56"/>
      <c r="I10" s="57" t="s">
        <v>300</v>
      </c>
      <c r="J10" s="57"/>
    </row>
    <row r="11" spans="1:10">
      <c r="A11" s="88" t="s">
        <v>3</v>
      </c>
      <c r="B11" s="88" t="s">
        <v>4</v>
      </c>
      <c r="C11" s="88"/>
      <c r="D11" s="88"/>
      <c r="E11" s="84" t="s">
        <v>5</v>
      </c>
      <c r="F11" s="84" t="s">
        <v>6</v>
      </c>
      <c r="G11" s="84"/>
      <c r="H11" s="84"/>
      <c r="I11" s="84"/>
      <c r="J11" s="84"/>
    </row>
    <row r="12" spans="1:10" ht="15" customHeight="1">
      <c r="A12" s="88"/>
      <c r="B12" s="88"/>
      <c r="C12" s="88"/>
      <c r="D12" s="88"/>
      <c r="E12" s="84"/>
      <c r="F12" s="89" t="s">
        <v>180</v>
      </c>
      <c r="G12" s="89" t="s">
        <v>181</v>
      </c>
      <c r="H12" s="89" t="s">
        <v>182</v>
      </c>
      <c r="I12" s="90" t="s">
        <v>183</v>
      </c>
      <c r="J12" s="85" t="s">
        <v>10</v>
      </c>
    </row>
    <row r="13" spans="1:10">
      <c r="A13" s="88"/>
      <c r="B13" s="88"/>
      <c r="C13" s="88"/>
      <c r="D13" s="88"/>
      <c r="E13" s="84"/>
      <c r="F13" s="89"/>
      <c r="G13" s="89"/>
      <c r="H13" s="89"/>
      <c r="I13" s="91"/>
      <c r="J13" s="86"/>
    </row>
    <row r="14" spans="1:10" ht="9" customHeight="1">
      <c r="A14" s="88"/>
      <c r="B14" s="88"/>
      <c r="C14" s="88"/>
      <c r="D14" s="88"/>
      <c r="E14" s="84"/>
      <c r="F14" s="89"/>
      <c r="G14" s="89"/>
      <c r="H14" s="89"/>
      <c r="I14" s="92"/>
      <c r="J14" s="87"/>
    </row>
    <row r="15" spans="1:10">
      <c r="A15" s="99" t="s">
        <v>7</v>
      </c>
      <c r="B15" s="99"/>
      <c r="C15" s="99"/>
      <c r="D15" s="99"/>
      <c r="E15" s="99"/>
      <c r="F15" s="99"/>
      <c r="G15" s="99"/>
      <c r="H15" s="99"/>
      <c r="I15" s="99"/>
      <c r="J15" s="99"/>
    </row>
    <row r="16" spans="1:10">
      <c r="A16" s="3"/>
      <c r="B16" s="96" t="s">
        <v>8</v>
      </c>
      <c r="C16" s="97"/>
      <c r="D16" s="98"/>
      <c r="E16" s="30"/>
      <c r="F16" s="31"/>
      <c r="G16" s="31"/>
      <c r="H16" s="31"/>
      <c r="I16" s="31"/>
      <c r="J16" s="31"/>
    </row>
    <row r="17" spans="1:10">
      <c r="A17" s="21" t="s">
        <v>130</v>
      </c>
      <c r="B17" s="59" t="s">
        <v>200</v>
      </c>
      <c r="C17" s="59"/>
      <c r="D17" s="59"/>
      <c r="E17" s="30">
        <v>150</v>
      </c>
      <c r="F17" s="32">
        <v>4.5</v>
      </c>
      <c r="G17" s="32">
        <v>4</v>
      </c>
      <c r="H17" s="32">
        <v>23.03</v>
      </c>
      <c r="I17" s="32">
        <v>146.25</v>
      </c>
      <c r="J17" s="32">
        <v>0.15</v>
      </c>
    </row>
    <row r="18" spans="1:10">
      <c r="A18" s="21"/>
      <c r="B18" s="59" t="s">
        <v>21</v>
      </c>
      <c r="C18" s="59"/>
      <c r="D18" s="59"/>
      <c r="E18" s="30"/>
      <c r="F18" s="32"/>
      <c r="G18" s="32"/>
      <c r="H18" s="32"/>
      <c r="I18" s="32"/>
      <c r="J18" s="32"/>
    </row>
    <row r="19" spans="1:10">
      <c r="A19" s="21" t="s">
        <v>47</v>
      </c>
      <c r="B19" s="69" t="s">
        <v>178</v>
      </c>
      <c r="C19" s="70"/>
      <c r="D19" s="71"/>
      <c r="E19" s="30">
        <v>150</v>
      </c>
      <c r="F19" s="32">
        <f>0/100*E19</f>
        <v>0</v>
      </c>
      <c r="G19" s="32">
        <f>0/100*E19</f>
        <v>0</v>
      </c>
      <c r="H19" s="32">
        <v>6.8</v>
      </c>
      <c r="I19" s="32">
        <v>26</v>
      </c>
      <c r="J19" s="32">
        <v>0</v>
      </c>
    </row>
    <row r="20" spans="1:10">
      <c r="A20" s="21"/>
      <c r="B20" s="69" t="s">
        <v>179</v>
      </c>
      <c r="C20" s="70"/>
      <c r="D20" s="71"/>
      <c r="E20" s="30">
        <v>5</v>
      </c>
      <c r="F20" s="32"/>
      <c r="G20" s="32"/>
      <c r="H20" s="32"/>
      <c r="I20" s="32"/>
      <c r="J20" s="32"/>
    </row>
    <row r="21" spans="1:10">
      <c r="A21" s="21" t="s">
        <v>57</v>
      </c>
      <c r="B21" s="59" t="s">
        <v>53</v>
      </c>
      <c r="C21" s="59"/>
      <c r="D21" s="59"/>
      <c r="E21" s="30">
        <v>7</v>
      </c>
      <c r="F21" s="32">
        <f>2.63/10*E21</f>
        <v>1.8410000000000002</v>
      </c>
      <c r="G21" s="32">
        <f>2.66/10*E21</f>
        <v>1.8620000000000001</v>
      </c>
      <c r="H21" s="32">
        <f>0/10*E21</f>
        <v>0</v>
      </c>
      <c r="I21" s="32">
        <f>105/30*E21</f>
        <v>24.5</v>
      </c>
      <c r="J21" s="32">
        <f>0.07/10*E21</f>
        <v>4.9000000000000009E-2</v>
      </c>
    </row>
    <row r="22" spans="1:10">
      <c r="A22" s="21" t="s">
        <v>11</v>
      </c>
      <c r="B22" s="59" t="s">
        <v>208</v>
      </c>
      <c r="C22" s="59"/>
      <c r="D22" s="59"/>
      <c r="E22" s="30" t="s">
        <v>289</v>
      </c>
      <c r="F22" s="32">
        <v>1.89</v>
      </c>
      <c r="G22" s="32">
        <v>3.85</v>
      </c>
      <c r="H22" s="32">
        <v>11.75</v>
      </c>
      <c r="I22" s="32">
        <v>91.01</v>
      </c>
      <c r="J22" s="32">
        <v>0</v>
      </c>
    </row>
    <row r="23" spans="1:10">
      <c r="A23" s="21"/>
      <c r="B23" s="69"/>
      <c r="C23" s="70"/>
      <c r="D23" s="71"/>
      <c r="E23" s="30"/>
      <c r="F23" s="32"/>
      <c r="G23" s="32"/>
      <c r="H23" s="32"/>
      <c r="I23" s="32"/>
      <c r="J23" s="32"/>
    </row>
    <row r="24" spans="1:10">
      <c r="A24" s="21"/>
      <c r="B24" s="64" t="s">
        <v>166</v>
      </c>
      <c r="C24" s="64"/>
      <c r="D24" s="64"/>
      <c r="E24" s="33">
        <f>SUM(E17+200+7+E21+45+7)</f>
        <v>416</v>
      </c>
      <c r="F24" s="34">
        <f>SUM(F17:F22)</f>
        <v>8.2309999999999999</v>
      </c>
      <c r="G24" s="34">
        <f t="shared" ref="G24:J24" si="0">SUM(G17:G22)</f>
        <v>9.7119999999999997</v>
      </c>
      <c r="H24" s="34">
        <f t="shared" si="0"/>
        <v>41.58</v>
      </c>
      <c r="I24" s="34">
        <f t="shared" si="0"/>
        <v>287.76</v>
      </c>
      <c r="J24" s="34">
        <f t="shared" si="0"/>
        <v>0.19900000000000001</v>
      </c>
    </row>
    <row r="25" spans="1:10">
      <c r="A25" s="21" t="s">
        <v>13</v>
      </c>
      <c r="B25" s="22" t="s">
        <v>167</v>
      </c>
      <c r="C25" s="23"/>
      <c r="D25" s="23"/>
      <c r="E25" s="30">
        <v>100</v>
      </c>
      <c r="F25" s="32">
        <v>0.4</v>
      </c>
      <c r="G25" s="32">
        <v>0.4</v>
      </c>
      <c r="H25" s="32">
        <v>9.8000000000000007</v>
      </c>
      <c r="I25" s="32">
        <v>42.7</v>
      </c>
      <c r="J25" s="32">
        <v>10</v>
      </c>
    </row>
    <row r="26" spans="1:10">
      <c r="A26" s="21"/>
      <c r="B26" s="73" t="s">
        <v>12</v>
      </c>
      <c r="C26" s="74"/>
      <c r="D26" s="75"/>
      <c r="E26" s="30"/>
      <c r="F26" s="32"/>
      <c r="G26" s="32"/>
      <c r="H26" s="32"/>
      <c r="I26" s="32"/>
      <c r="J26" s="32"/>
    </row>
    <row r="27" spans="1:10">
      <c r="A27" s="21" t="s">
        <v>203</v>
      </c>
      <c r="B27" s="59" t="s">
        <v>201</v>
      </c>
      <c r="C27" s="59"/>
      <c r="D27" s="59"/>
      <c r="E27" s="30">
        <v>40</v>
      </c>
      <c r="F27" s="32">
        <v>0.7</v>
      </c>
      <c r="G27" s="32">
        <v>2.6</v>
      </c>
      <c r="H27" s="32">
        <v>4.8</v>
      </c>
      <c r="I27" s="32">
        <v>42</v>
      </c>
      <c r="J27" s="32">
        <v>15</v>
      </c>
    </row>
    <row r="28" spans="1:10">
      <c r="A28" s="21"/>
      <c r="B28" s="59" t="s">
        <v>202</v>
      </c>
      <c r="C28" s="59"/>
      <c r="D28" s="59"/>
      <c r="E28" s="30"/>
      <c r="F28" s="32"/>
      <c r="G28" s="32"/>
      <c r="H28" s="32"/>
      <c r="I28" s="32"/>
      <c r="J28" s="32"/>
    </row>
    <row r="29" spans="1:10">
      <c r="A29" s="21" t="s">
        <v>204</v>
      </c>
      <c r="B29" s="59" t="s">
        <v>205</v>
      </c>
      <c r="C29" s="59"/>
      <c r="D29" s="59"/>
      <c r="E29" s="30">
        <v>150</v>
      </c>
      <c r="F29" s="32">
        <v>5.0999999999999996</v>
      </c>
      <c r="G29" s="32">
        <v>1.6</v>
      </c>
      <c r="H29" s="32">
        <v>8.1999999999999993</v>
      </c>
      <c r="I29" s="32">
        <v>65</v>
      </c>
      <c r="J29" s="32">
        <v>4</v>
      </c>
    </row>
    <row r="30" spans="1:10">
      <c r="A30" s="21" t="s">
        <v>133</v>
      </c>
      <c r="B30" s="59" t="s">
        <v>206</v>
      </c>
      <c r="C30" s="59"/>
      <c r="D30" s="59"/>
      <c r="E30" s="30">
        <v>100</v>
      </c>
      <c r="F30" s="32">
        <v>3.5</v>
      </c>
      <c r="G30" s="32">
        <v>2.5</v>
      </c>
      <c r="H30" s="32">
        <v>22.7</v>
      </c>
      <c r="I30" s="32">
        <v>125</v>
      </c>
      <c r="J30" s="32">
        <v>0</v>
      </c>
    </row>
    <row r="31" spans="1:10">
      <c r="A31" s="21" t="s">
        <v>207</v>
      </c>
      <c r="B31" s="59" t="s">
        <v>103</v>
      </c>
      <c r="C31" s="59"/>
      <c r="D31" s="59"/>
      <c r="E31" s="30">
        <v>80</v>
      </c>
      <c r="F31" s="32">
        <v>11.7</v>
      </c>
      <c r="G31" s="32">
        <v>12.5</v>
      </c>
      <c r="H31" s="32">
        <v>2.9</v>
      </c>
      <c r="I31" s="32">
        <v>171</v>
      </c>
      <c r="J31" s="32">
        <v>0</v>
      </c>
    </row>
    <row r="32" spans="1:10">
      <c r="A32" s="21">
        <v>372</v>
      </c>
      <c r="B32" s="59" t="s">
        <v>120</v>
      </c>
      <c r="C32" s="59"/>
      <c r="D32" s="59"/>
      <c r="E32" s="30">
        <v>150</v>
      </c>
      <c r="F32" s="32">
        <v>0.6</v>
      </c>
      <c r="G32" s="32">
        <v>0</v>
      </c>
      <c r="H32" s="32">
        <v>8.9600000000000009</v>
      </c>
      <c r="I32" s="32">
        <v>36.6</v>
      </c>
      <c r="J32" s="32">
        <v>0</v>
      </c>
    </row>
    <row r="33" spans="1:10">
      <c r="A33" s="21"/>
      <c r="B33" s="59" t="s">
        <v>15</v>
      </c>
      <c r="C33" s="59"/>
      <c r="D33" s="59"/>
      <c r="E33" s="30">
        <v>20</v>
      </c>
      <c r="F33" s="32">
        <v>1.32</v>
      </c>
      <c r="G33" s="32">
        <v>0.12</v>
      </c>
      <c r="H33" s="32">
        <v>9.84</v>
      </c>
      <c r="I33" s="32">
        <v>46.6</v>
      </c>
      <c r="J33" s="32">
        <f t="shared" ref="J33" si="1">0.2/100*E33</f>
        <v>0.04</v>
      </c>
    </row>
    <row r="34" spans="1:10">
      <c r="A34" s="21"/>
      <c r="B34" s="59" t="s">
        <v>16</v>
      </c>
      <c r="C34" s="59"/>
      <c r="D34" s="59"/>
      <c r="E34" s="30">
        <v>30</v>
      </c>
      <c r="F34" s="32">
        <f>2.64/40*E34</f>
        <v>1.98</v>
      </c>
      <c r="G34" s="32">
        <f>0/40*E34</f>
        <v>0</v>
      </c>
      <c r="H34" s="32">
        <f>0.48/40*E34</f>
        <v>0.36</v>
      </c>
      <c r="I34" s="32">
        <f>13.36/40*E34</f>
        <v>10.02</v>
      </c>
      <c r="J34" s="32">
        <f>0/40*E34</f>
        <v>0</v>
      </c>
    </row>
    <row r="35" spans="1:10">
      <c r="A35" s="21"/>
      <c r="B35" s="64" t="s">
        <v>166</v>
      </c>
      <c r="C35" s="64"/>
      <c r="D35" s="64"/>
      <c r="E35" s="33">
        <f>SUM(E27+E29+10+15+E31+E33+E34)</f>
        <v>345</v>
      </c>
      <c r="F35" s="34">
        <f>SUM(F27:F34)</f>
        <v>24.900000000000002</v>
      </c>
      <c r="G35" s="34">
        <f t="shared" ref="G35:J35" si="2">SUM(G27:G34)</f>
        <v>19.32</v>
      </c>
      <c r="H35" s="34">
        <f t="shared" si="2"/>
        <v>57.760000000000005</v>
      </c>
      <c r="I35" s="34">
        <f t="shared" si="2"/>
        <v>496.22</v>
      </c>
      <c r="J35" s="34">
        <f t="shared" si="2"/>
        <v>19.04</v>
      </c>
    </row>
    <row r="36" spans="1:10">
      <c r="A36" s="21"/>
      <c r="B36" s="73" t="s">
        <v>17</v>
      </c>
      <c r="C36" s="74"/>
      <c r="D36" s="75"/>
      <c r="E36" s="30"/>
      <c r="F36" s="32"/>
      <c r="G36" s="32"/>
      <c r="H36" s="32"/>
      <c r="I36" s="32"/>
      <c r="J36" s="32"/>
    </row>
    <row r="37" spans="1:10">
      <c r="A37" s="21" t="s">
        <v>290</v>
      </c>
      <c r="B37" s="59" t="s">
        <v>209</v>
      </c>
      <c r="C37" s="59"/>
      <c r="D37" s="59"/>
      <c r="E37" s="30">
        <v>60</v>
      </c>
      <c r="F37" s="32">
        <v>3.7</v>
      </c>
      <c r="G37" s="32">
        <v>2.74</v>
      </c>
      <c r="H37" s="32">
        <v>26.57</v>
      </c>
      <c r="I37" s="32">
        <v>140.57</v>
      </c>
      <c r="J37" s="32">
        <v>0.26</v>
      </c>
    </row>
    <row r="38" spans="1:10">
      <c r="A38" s="21"/>
      <c r="B38" s="59" t="s">
        <v>210</v>
      </c>
      <c r="C38" s="59"/>
      <c r="D38" s="59"/>
      <c r="E38" s="30">
        <v>150</v>
      </c>
      <c r="F38" s="32">
        <v>4.83</v>
      </c>
      <c r="G38" s="32">
        <v>5.33</v>
      </c>
      <c r="H38" s="32">
        <v>7.83</v>
      </c>
      <c r="I38" s="32">
        <v>98.33</v>
      </c>
      <c r="J38" s="32">
        <v>2.17</v>
      </c>
    </row>
    <row r="39" spans="1:10">
      <c r="A39" s="21"/>
      <c r="B39" s="64" t="s">
        <v>166</v>
      </c>
      <c r="C39" s="64"/>
      <c r="D39" s="64"/>
      <c r="E39" s="33">
        <f>SUM(E37:E38)</f>
        <v>210</v>
      </c>
      <c r="F39" s="34">
        <f t="shared" ref="F39:J39" si="3">SUM(F37:F38)</f>
        <v>8.5300000000000011</v>
      </c>
      <c r="G39" s="34">
        <f t="shared" si="3"/>
        <v>8.07</v>
      </c>
      <c r="H39" s="34">
        <f t="shared" si="3"/>
        <v>34.4</v>
      </c>
      <c r="I39" s="34">
        <f t="shared" si="3"/>
        <v>238.89999999999998</v>
      </c>
      <c r="J39" s="34">
        <f t="shared" si="3"/>
        <v>2.4299999999999997</v>
      </c>
    </row>
    <row r="40" spans="1:10">
      <c r="A40" s="21"/>
      <c r="B40" s="77" t="s">
        <v>169</v>
      </c>
      <c r="C40" s="77"/>
      <c r="D40" s="77"/>
      <c r="E40" s="35">
        <f>E24+E25+E35+E39</f>
        <v>1071</v>
      </c>
      <c r="F40" s="36">
        <f t="shared" ref="F40:J40" si="4">F24+F25+F35+F39</f>
        <v>42.061000000000007</v>
      </c>
      <c r="G40" s="36">
        <f t="shared" si="4"/>
        <v>37.502000000000002</v>
      </c>
      <c r="H40" s="37">
        <f t="shared" si="4"/>
        <v>143.54</v>
      </c>
      <c r="I40" s="36">
        <f t="shared" si="4"/>
        <v>1065.58</v>
      </c>
      <c r="J40" s="36">
        <f t="shared" si="4"/>
        <v>31.668999999999997</v>
      </c>
    </row>
    <row r="41" spans="1:10">
      <c r="A41" s="21" t="s">
        <v>54</v>
      </c>
      <c r="B41" s="59"/>
      <c r="C41" s="59"/>
      <c r="D41" s="59"/>
      <c r="E41" s="30"/>
      <c r="F41" s="32"/>
      <c r="G41" s="32"/>
      <c r="H41" s="32"/>
      <c r="I41" s="32">
        <f>I40*100/1963</f>
        <v>54.28323993886908</v>
      </c>
      <c r="J41" s="32"/>
    </row>
    <row r="42" spans="1:10">
      <c r="A42" s="68" t="s">
        <v>20</v>
      </c>
      <c r="B42" s="68"/>
      <c r="C42" s="68"/>
      <c r="D42" s="68"/>
      <c r="E42" s="68"/>
      <c r="F42" s="68"/>
      <c r="G42" s="68"/>
      <c r="H42" s="68"/>
      <c r="I42" s="68"/>
      <c r="J42" s="68"/>
    </row>
    <row r="43" spans="1:10">
      <c r="A43" s="21"/>
      <c r="B43" s="73" t="s">
        <v>8</v>
      </c>
      <c r="C43" s="74"/>
      <c r="D43" s="75"/>
      <c r="E43" s="30"/>
      <c r="F43" s="32"/>
      <c r="G43" s="32"/>
      <c r="H43" s="32"/>
      <c r="I43" s="32"/>
      <c r="J43" s="38"/>
    </row>
    <row r="44" spans="1:10">
      <c r="A44" s="21" t="s">
        <v>270</v>
      </c>
      <c r="B44" s="78" t="s">
        <v>271</v>
      </c>
      <c r="C44" s="79"/>
      <c r="D44" s="80"/>
      <c r="E44" s="30">
        <v>120</v>
      </c>
      <c r="F44" s="32">
        <v>15.6</v>
      </c>
      <c r="G44" s="32">
        <v>10.9</v>
      </c>
      <c r="H44" s="32">
        <v>13.7</v>
      </c>
      <c r="I44" s="32">
        <v>214</v>
      </c>
      <c r="J44" s="32">
        <v>0.5</v>
      </c>
    </row>
    <row r="45" spans="1:10">
      <c r="A45" s="21" t="s">
        <v>72</v>
      </c>
      <c r="B45" s="59" t="s">
        <v>211</v>
      </c>
      <c r="C45" s="59"/>
      <c r="D45" s="59"/>
      <c r="E45" s="30">
        <v>30</v>
      </c>
      <c r="F45" s="32">
        <v>0.75</v>
      </c>
      <c r="G45" s="32">
        <v>1.41</v>
      </c>
      <c r="H45" s="32">
        <v>4.5</v>
      </c>
      <c r="I45" s="32">
        <v>33</v>
      </c>
      <c r="J45" s="32">
        <v>0.1</v>
      </c>
    </row>
    <row r="46" spans="1:10">
      <c r="A46" s="21" t="s">
        <v>131</v>
      </c>
      <c r="B46" s="59" t="s">
        <v>269</v>
      </c>
      <c r="C46" s="59"/>
      <c r="D46" s="59"/>
      <c r="E46" s="30">
        <v>150</v>
      </c>
      <c r="F46" s="32">
        <v>0</v>
      </c>
      <c r="G46" s="32">
        <v>0</v>
      </c>
      <c r="H46" s="32">
        <v>6.8</v>
      </c>
      <c r="I46" s="32">
        <v>26</v>
      </c>
      <c r="J46" s="32">
        <v>0</v>
      </c>
    </row>
    <row r="47" spans="1:10">
      <c r="A47" s="21"/>
      <c r="B47" s="59" t="s">
        <v>177</v>
      </c>
      <c r="C47" s="59"/>
      <c r="D47" s="59"/>
      <c r="E47" s="30">
        <v>25</v>
      </c>
      <c r="F47" s="32">
        <v>1.65</v>
      </c>
      <c r="G47" s="32">
        <v>0.15</v>
      </c>
      <c r="H47" s="32">
        <v>12.3</v>
      </c>
      <c r="I47" s="32">
        <v>58.25</v>
      </c>
      <c r="J47" s="32">
        <v>0</v>
      </c>
    </row>
    <row r="48" spans="1:10" s="2" customFormat="1">
      <c r="A48" s="21"/>
      <c r="B48" s="69"/>
      <c r="C48" s="70"/>
      <c r="D48" s="71"/>
      <c r="E48" s="30"/>
      <c r="F48" s="32"/>
      <c r="G48" s="32"/>
      <c r="H48" s="32"/>
      <c r="I48" s="32"/>
      <c r="J48" s="32"/>
    </row>
    <row r="49" spans="1:10">
      <c r="A49" s="21"/>
      <c r="B49" s="64" t="s">
        <v>166</v>
      </c>
      <c r="C49" s="64"/>
      <c r="D49" s="64"/>
      <c r="E49" s="33">
        <f>E44+E45+E46+45+7</f>
        <v>352</v>
      </c>
      <c r="F49" s="34">
        <f>SUM(F44:F47)</f>
        <v>18</v>
      </c>
      <c r="G49" s="34">
        <f>SUM(G44:G47)</f>
        <v>12.46</v>
      </c>
      <c r="H49" s="34">
        <f>SUM(H44:H47)</f>
        <v>37.299999999999997</v>
      </c>
      <c r="I49" s="34">
        <f>SUM(I44:I47)</f>
        <v>331.25</v>
      </c>
      <c r="J49" s="34">
        <f>SUM(J44:J47)</f>
        <v>0.6</v>
      </c>
    </row>
    <row r="50" spans="1:10">
      <c r="A50" s="21" t="s">
        <v>13</v>
      </c>
      <c r="B50" s="11" t="s">
        <v>167</v>
      </c>
      <c r="C50" s="12"/>
      <c r="D50" s="12"/>
      <c r="E50" s="30">
        <v>100</v>
      </c>
      <c r="F50" s="32">
        <v>0.4</v>
      </c>
      <c r="G50" s="32">
        <v>0.4</v>
      </c>
      <c r="H50" s="32">
        <v>9.8000000000000007</v>
      </c>
      <c r="I50" s="32">
        <v>42.7</v>
      </c>
      <c r="J50" s="32">
        <v>10</v>
      </c>
    </row>
    <row r="51" spans="1:10">
      <c r="A51" s="4"/>
      <c r="B51" s="68" t="s">
        <v>12</v>
      </c>
      <c r="C51" s="68"/>
      <c r="D51" s="68"/>
      <c r="E51" s="30"/>
      <c r="F51" s="32"/>
      <c r="G51" s="32"/>
      <c r="H51" s="32"/>
      <c r="I51" s="32"/>
      <c r="J51" s="32"/>
    </row>
    <row r="52" spans="1:10">
      <c r="A52" s="4"/>
      <c r="B52" s="59" t="s">
        <v>212</v>
      </c>
      <c r="C52" s="59"/>
      <c r="D52" s="59"/>
      <c r="E52" s="30">
        <v>40</v>
      </c>
      <c r="F52" s="32">
        <v>0.44</v>
      </c>
      <c r="G52" s="32">
        <v>0.08</v>
      </c>
      <c r="H52" s="32">
        <v>1.48</v>
      </c>
      <c r="I52" s="32">
        <v>7.2</v>
      </c>
      <c r="J52" s="32">
        <v>0</v>
      </c>
    </row>
    <row r="53" spans="1:10">
      <c r="A53" s="4" t="s">
        <v>156</v>
      </c>
      <c r="B53" s="59" t="s">
        <v>213</v>
      </c>
      <c r="C53" s="59"/>
      <c r="D53" s="59"/>
      <c r="E53" s="30">
        <v>150</v>
      </c>
      <c r="F53" s="32">
        <v>3.8</v>
      </c>
      <c r="G53" s="32">
        <v>9.1999999999999993</v>
      </c>
      <c r="H53" s="32">
        <v>11.5</v>
      </c>
      <c r="I53" s="32">
        <v>141</v>
      </c>
      <c r="J53" s="32">
        <v>5.3</v>
      </c>
    </row>
    <row r="54" spans="1:10">
      <c r="A54" s="4"/>
      <c r="B54" s="76" t="s">
        <v>214</v>
      </c>
      <c r="C54" s="76"/>
      <c r="D54" s="76"/>
      <c r="E54" s="30">
        <v>3.8</v>
      </c>
      <c r="F54" s="43"/>
      <c r="G54" s="43"/>
      <c r="H54" s="43"/>
      <c r="I54" s="43"/>
      <c r="J54" s="43"/>
    </row>
    <row r="55" spans="1:10">
      <c r="A55" s="4" t="s">
        <v>129</v>
      </c>
      <c r="B55" s="76" t="s">
        <v>215</v>
      </c>
      <c r="C55" s="76"/>
      <c r="D55" s="76"/>
      <c r="E55" s="30">
        <v>100</v>
      </c>
      <c r="F55" s="32">
        <v>2.2999999999999998</v>
      </c>
      <c r="G55" s="32">
        <v>1.9</v>
      </c>
      <c r="H55" s="32">
        <v>11.6</v>
      </c>
      <c r="I55" s="32">
        <v>62</v>
      </c>
      <c r="J55" s="32">
        <v>20.9</v>
      </c>
    </row>
    <row r="56" spans="1:10">
      <c r="A56" s="4" t="s">
        <v>91</v>
      </c>
      <c r="B56" s="76" t="s">
        <v>216</v>
      </c>
      <c r="C56" s="76"/>
      <c r="D56" s="76"/>
      <c r="E56" s="30">
        <v>60</v>
      </c>
      <c r="F56" s="32">
        <v>13.4</v>
      </c>
      <c r="G56" s="32">
        <v>13.1</v>
      </c>
      <c r="H56" s="32">
        <v>0.2</v>
      </c>
      <c r="I56" s="32">
        <v>172</v>
      </c>
      <c r="J56" s="32">
        <v>0.1</v>
      </c>
    </row>
    <row r="57" spans="1:10">
      <c r="A57" s="4" t="s">
        <v>32</v>
      </c>
      <c r="B57" s="76" t="s">
        <v>33</v>
      </c>
      <c r="C57" s="76"/>
      <c r="D57" s="76"/>
      <c r="E57" s="30">
        <v>150</v>
      </c>
      <c r="F57" s="32">
        <v>0.4</v>
      </c>
      <c r="G57" s="32">
        <v>0</v>
      </c>
      <c r="H57" s="32">
        <v>14.9</v>
      </c>
      <c r="I57" s="32">
        <v>54</v>
      </c>
      <c r="J57" s="32">
        <v>37.6</v>
      </c>
    </row>
    <row r="58" spans="1:10">
      <c r="A58" s="21"/>
      <c r="B58" s="59" t="s">
        <v>15</v>
      </c>
      <c r="C58" s="59"/>
      <c r="D58" s="59"/>
      <c r="E58" s="30">
        <v>20</v>
      </c>
      <c r="F58" s="32">
        <v>1.32</v>
      </c>
      <c r="G58" s="32">
        <v>0.12</v>
      </c>
      <c r="H58" s="32">
        <v>9.84</v>
      </c>
      <c r="I58" s="32">
        <v>46.6</v>
      </c>
      <c r="J58" s="32">
        <f t="shared" ref="J58" si="5">0.2/100*E58</f>
        <v>0.04</v>
      </c>
    </row>
    <row r="59" spans="1:10">
      <c r="A59" s="21"/>
      <c r="B59" s="59" t="s">
        <v>16</v>
      </c>
      <c r="C59" s="59"/>
      <c r="D59" s="59"/>
      <c r="E59" s="30">
        <v>30</v>
      </c>
      <c r="F59" s="32">
        <f>2.64/40*E59</f>
        <v>1.98</v>
      </c>
      <c r="G59" s="32">
        <f>0/40*E59</f>
        <v>0</v>
      </c>
      <c r="H59" s="32">
        <f>0.48/40*E59</f>
        <v>0.36</v>
      </c>
      <c r="I59" s="32">
        <f>13.36/40*E59</f>
        <v>10.02</v>
      </c>
      <c r="J59" s="32">
        <f>0/40*E59</f>
        <v>0</v>
      </c>
    </row>
    <row r="60" spans="1:10">
      <c r="A60" s="4"/>
      <c r="B60" s="64" t="s">
        <v>166</v>
      </c>
      <c r="C60" s="64"/>
      <c r="D60" s="64"/>
      <c r="E60" s="33">
        <f>SUM(E52:E59)</f>
        <v>553.79999999999995</v>
      </c>
      <c r="F60" s="34">
        <f t="shared" ref="F60:J60" si="6">SUM(F52:F59)</f>
        <v>23.64</v>
      </c>
      <c r="G60" s="34">
        <f t="shared" si="6"/>
        <v>24.400000000000002</v>
      </c>
      <c r="H60" s="34">
        <f t="shared" si="6"/>
        <v>49.879999999999995</v>
      </c>
      <c r="I60" s="34">
        <f t="shared" si="6"/>
        <v>492.82</v>
      </c>
      <c r="J60" s="34">
        <f t="shared" si="6"/>
        <v>63.940000000000005</v>
      </c>
    </row>
    <row r="61" spans="1:10">
      <c r="A61" s="4"/>
      <c r="B61" s="73" t="s">
        <v>17</v>
      </c>
      <c r="C61" s="74"/>
      <c r="D61" s="75"/>
      <c r="E61" s="30"/>
      <c r="F61" s="32"/>
      <c r="G61" s="32"/>
      <c r="H61" s="32"/>
      <c r="I61" s="32"/>
      <c r="J61" s="32"/>
    </row>
    <row r="62" spans="1:10">
      <c r="A62" s="4" t="s">
        <v>135</v>
      </c>
      <c r="B62" s="59" t="s">
        <v>217</v>
      </c>
      <c r="C62" s="59"/>
      <c r="D62" s="59"/>
      <c r="E62" s="30">
        <v>60</v>
      </c>
      <c r="F62" s="32">
        <v>4.03</v>
      </c>
      <c r="G62" s="32">
        <v>5.17</v>
      </c>
      <c r="H62" s="32">
        <v>27.97</v>
      </c>
      <c r="I62" s="32">
        <v>175.39</v>
      </c>
      <c r="J62" s="32">
        <v>0.39</v>
      </c>
    </row>
    <row r="63" spans="1:10">
      <c r="A63" s="4"/>
      <c r="B63" s="59" t="s">
        <v>218</v>
      </c>
      <c r="C63" s="59"/>
      <c r="D63" s="59"/>
      <c r="E63" s="30">
        <v>150</v>
      </c>
      <c r="F63" s="32">
        <f>2.9/100*E63</f>
        <v>4.3499999999999996</v>
      </c>
      <c r="G63" s="32">
        <v>4.5</v>
      </c>
      <c r="H63" s="32">
        <v>6.8</v>
      </c>
      <c r="I63" s="32">
        <v>84</v>
      </c>
      <c r="J63" s="32">
        <v>0.8</v>
      </c>
    </row>
    <row r="64" spans="1:10">
      <c r="A64" s="4"/>
      <c r="B64" s="64" t="s">
        <v>166</v>
      </c>
      <c r="C64" s="64"/>
      <c r="D64" s="64"/>
      <c r="E64" s="33">
        <f>SUM(E62:E63)</f>
        <v>210</v>
      </c>
      <c r="F64" s="34">
        <f t="shared" ref="F64:J64" si="7">SUM(F62:F63)</f>
        <v>8.379999999999999</v>
      </c>
      <c r="G64" s="34">
        <f t="shared" si="7"/>
        <v>9.67</v>
      </c>
      <c r="H64" s="34">
        <f t="shared" si="7"/>
        <v>34.769999999999996</v>
      </c>
      <c r="I64" s="34">
        <f t="shared" si="7"/>
        <v>259.39</v>
      </c>
      <c r="J64" s="34">
        <f t="shared" si="7"/>
        <v>1.19</v>
      </c>
    </row>
    <row r="65" spans="1:10">
      <c r="A65" s="4"/>
      <c r="B65" s="77" t="s">
        <v>19</v>
      </c>
      <c r="C65" s="77"/>
      <c r="D65" s="77"/>
      <c r="E65" s="35">
        <f>E49+E50+E60+E64</f>
        <v>1215.8</v>
      </c>
      <c r="F65" s="37">
        <f t="shared" ref="F65:J65" si="8">F49+F50+F60+F64</f>
        <v>50.42</v>
      </c>
      <c r="G65" s="37">
        <f t="shared" si="8"/>
        <v>46.930000000000007</v>
      </c>
      <c r="H65" s="37">
        <f t="shared" si="8"/>
        <v>131.75</v>
      </c>
      <c r="I65" s="37">
        <f t="shared" si="8"/>
        <v>1126.1599999999999</v>
      </c>
      <c r="J65" s="37">
        <f t="shared" si="8"/>
        <v>75.73</v>
      </c>
    </row>
    <row r="66" spans="1:10">
      <c r="A66" s="13" t="s">
        <v>54</v>
      </c>
      <c r="B66" s="59"/>
      <c r="C66" s="59"/>
      <c r="D66" s="59"/>
      <c r="E66" s="30"/>
      <c r="F66" s="32"/>
      <c r="G66" s="32"/>
      <c r="H66" s="32"/>
      <c r="I66" s="32">
        <f>I65*100/1963</f>
        <v>57.369332654100859</v>
      </c>
      <c r="J66" s="32"/>
    </row>
    <row r="67" spans="1:10">
      <c r="A67" s="68" t="s">
        <v>28</v>
      </c>
      <c r="B67" s="68"/>
      <c r="C67" s="68"/>
      <c r="D67" s="68"/>
      <c r="E67" s="68"/>
      <c r="F67" s="68"/>
      <c r="G67" s="68"/>
      <c r="H67" s="68"/>
      <c r="I67" s="68"/>
      <c r="J67" s="68"/>
    </row>
    <row r="68" spans="1:10">
      <c r="A68" s="13"/>
      <c r="B68" s="73" t="s">
        <v>8</v>
      </c>
      <c r="C68" s="74"/>
      <c r="D68" s="75"/>
      <c r="E68" s="30"/>
      <c r="F68" s="32"/>
      <c r="G68" s="32"/>
      <c r="H68" s="32"/>
      <c r="I68" s="32"/>
      <c r="J68" s="32"/>
    </row>
    <row r="69" spans="1:10">
      <c r="A69" s="4" t="s">
        <v>147</v>
      </c>
      <c r="B69" s="22" t="s">
        <v>219</v>
      </c>
      <c r="C69" s="12"/>
      <c r="D69" s="12"/>
      <c r="E69" s="30">
        <v>150</v>
      </c>
      <c r="F69" s="32">
        <v>4.9000000000000004</v>
      </c>
      <c r="G69" s="32">
        <v>4.5</v>
      </c>
      <c r="H69" s="32">
        <v>24.4</v>
      </c>
      <c r="I69" s="32">
        <v>154</v>
      </c>
      <c r="J69" s="32">
        <v>0.3</v>
      </c>
    </row>
    <row r="70" spans="1:10">
      <c r="A70" s="4" t="s">
        <v>57</v>
      </c>
      <c r="B70" s="59" t="s">
        <v>53</v>
      </c>
      <c r="C70" s="59"/>
      <c r="D70" s="59"/>
      <c r="E70" s="30">
        <v>7</v>
      </c>
      <c r="F70" s="32">
        <f>2.63/10*E70</f>
        <v>1.8410000000000002</v>
      </c>
      <c r="G70" s="32">
        <f>2.66/10*E70</f>
        <v>1.8620000000000001</v>
      </c>
      <c r="H70" s="32">
        <f>0/10*E70</f>
        <v>0</v>
      </c>
      <c r="I70" s="32">
        <f>105/30*E70</f>
        <v>24.5</v>
      </c>
      <c r="J70" s="32">
        <f>0.07/10*E70</f>
        <v>4.9000000000000009E-2</v>
      </c>
    </row>
    <row r="71" spans="1:10">
      <c r="A71" s="21" t="s">
        <v>11</v>
      </c>
      <c r="B71" s="59" t="s">
        <v>208</v>
      </c>
      <c r="C71" s="59"/>
      <c r="D71" s="59"/>
      <c r="E71" s="30" t="s">
        <v>289</v>
      </c>
      <c r="F71" s="32">
        <v>1.89</v>
      </c>
      <c r="G71" s="32">
        <v>3.85</v>
      </c>
      <c r="H71" s="32">
        <v>11.75</v>
      </c>
      <c r="I71" s="32">
        <v>91.01</v>
      </c>
      <c r="J71" s="32">
        <v>0</v>
      </c>
    </row>
    <row r="72" spans="1:10" s="2" customFormat="1">
      <c r="A72" s="21" t="s">
        <v>128</v>
      </c>
      <c r="B72" s="59" t="s">
        <v>230</v>
      </c>
      <c r="C72" s="59"/>
      <c r="D72" s="59"/>
      <c r="E72" s="30">
        <v>150</v>
      </c>
      <c r="F72" s="32">
        <v>1.1000000000000001</v>
      </c>
      <c r="G72" s="32">
        <v>1.1000000000000001</v>
      </c>
      <c r="H72" s="32">
        <v>8.4</v>
      </c>
      <c r="I72" s="32">
        <v>39.799999999999997</v>
      </c>
      <c r="J72" s="32">
        <v>0.2</v>
      </c>
    </row>
    <row r="73" spans="1:10">
      <c r="A73" s="4"/>
      <c r="B73" s="59"/>
      <c r="C73" s="59"/>
      <c r="D73" s="59"/>
      <c r="E73" s="30"/>
      <c r="F73" s="32"/>
      <c r="G73" s="32"/>
      <c r="H73" s="32"/>
      <c r="I73" s="32"/>
      <c r="J73" s="32"/>
    </row>
    <row r="74" spans="1:10">
      <c r="A74" s="4"/>
      <c r="B74" s="25" t="s">
        <v>166</v>
      </c>
      <c r="C74" s="26"/>
      <c r="D74" s="26"/>
      <c r="E74" s="33">
        <f>SUM(E69+E70+45+7+E73)</f>
        <v>209</v>
      </c>
      <c r="F74" s="34">
        <f>SUM(F69:F73)</f>
        <v>9.7309999999999999</v>
      </c>
      <c r="G74" s="34">
        <f t="shared" ref="G74:J74" si="9">SUM(G69:G73)</f>
        <v>11.311999999999999</v>
      </c>
      <c r="H74" s="34">
        <f t="shared" si="9"/>
        <v>44.55</v>
      </c>
      <c r="I74" s="34">
        <f t="shared" si="9"/>
        <v>309.31</v>
      </c>
      <c r="J74" s="34">
        <f t="shared" si="9"/>
        <v>0.54899999999999993</v>
      </c>
    </row>
    <row r="75" spans="1:10">
      <c r="A75" s="21" t="s">
        <v>13</v>
      </c>
      <c r="B75" s="11" t="s">
        <v>167</v>
      </c>
      <c r="C75" s="12"/>
      <c r="D75" s="12"/>
      <c r="E75" s="30">
        <v>100</v>
      </c>
      <c r="F75" s="32">
        <v>0.4</v>
      </c>
      <c r="G75" s="32">
        <v>0.4</v>
      </c>
      <c r="H75" s="32">
        <v>9.8000000000000007</v>
      </c>
      <c r="I75" s="32">
        <v>42.7</v>
      </c>
      <c r="J75" s="32">
        <v>10</v>
      </c>
    </row>
    <row r="76" spans="1:10">
      <c r="A76" s="4"/>
      <c r="B76" s="68" t="s">
        <v>12</v>
      </c>
      <c r="C76" s="68"/>
      <c r="D76" s="68"/>
      <c r="E76" s="30"/>
      <c r="F76" s="32"/>
      <c r="G76" s="32"/>
      <c r="H76" s="32"/>
      <c r="I76" s="32"/>
      <c r="J76" s="32"/>
    </row>
    <row r="77" spans="1:10">
      <c r="A77" s="4"/>
      <c r="B77" s="22" t="s">
        <v>220</v>
      </c>
      <c r="C77" s="12"/>
      <c r="D77" s="12"/>
      <c r="E77" s="30">
        <v>40</v>
      </c>
      <c r="F77" s="32">
        <v>0.32</v>
      </c>
      <c r="G77" s="32">
        <v>0.04</v>
      </c>
      <c r="H77" s="32">
        <v>1</v>
      </c>
      <c r="I77" s="32">
        <v>5.6</v>
      </c>
      <c r="J77" s="32">
        <v>3.67</v>
      </c>
    </row>
    <row r="78" spans="1:10">
      <c r="A78" s="4"/>
      <c r="B78" s="59"/>
      <c r="C78" s="59"/>
      <c r="D78" s="59"/>
      <c r="E78" s="1"/>
      <c r="F78" s="32"/>
      <c r="G78" s="32"/>
      <c r="H78" s="32"/>
      <c r="I78" s="32"/>
      <c r="J78" s="32"/>
    </row>
    <row r="79" spans="1:10">
      <c r="A79" s="4" t="s">
        <v>78</v>
      </c>
      <c r="B79" s="59" t="s">
        <v>222</v>
      </c>
      <c r="C79" s="59"/>
      <c r="D79" s="59"/>
      <c r="E79" s="30">
        <v>150</v>
      </c>
      <c r="F79" s="32">
        <f>0.9/100*E79</f>
        <v>1.35</v>
      </c>
      <c r="G79" s="32">
        <f>2.2/100*E79</f>
        <v>3.3000000000000003</v>
      </c>
      <c r="H79" s="32">
        <f>6.9/100*E79</f>
        <v>10.350000000000001</v>
      </c>
      <c r="I79" s="32">
        <f>46/100*E79</f>
        <v>69</v>
      </c>
      <c r="J79" s="32">
        <f>2.7/100*E79</f>
        <v>4.0500000000000007</v>
      </c>
    </row>
    <row r="80" spans="1:10">
      <c r="A80" s="4"/>
      <c r="B80" s="59" t="s">
        <v>221</v>
      </c>
      <c r="C80" s="59"/>
      <c r="D80" s="59"/>
      <c r="E80" s="30">
        <v>7.5</v>
      </c>
      <c r="F80" s="32">
        <v>1.43</v>
      </c>
      <c r="G80" s="32">
        <v>2.1</v>
      </c>
      <c r="H80" s="32">
        <v>9</v>
      </c>
      <c r="I80" s="32">
        <v>58.5</v>
      </c>
      <c r="J80" s="32">
        <v>0.3</v>
      </c>
    </row>
    <row r="81" spans="1:10">
      <c r="A81" s="4" t="s">
        <v>41</v>
      </c>
      <c r="B81" s="59" t="s">
        <v>40</v>
      </c>
      <c r="C81" s="59"/>
      <c r="D81" s="59"/>
      <c r="E81" s="30">
        <v>100</v>
      </c>
      <c r="F81" s="32">
        <v>1.6</v>
      </c>
      <c r="G81" s="32">
        <v>2.5</v>
      </c>
      <c r="H81" s="32">
        <v>10.7</v>
      </c>
      <c r="I81" s="32">
        <v>65</v>
      </c>
      <c r="J81" s="32">
        <v>7.1</v>
      </c>
    </row>
    <row r="82" spans="1:10">
      <c r="A82" s="4" t="s">
        <v>223</v>
      </c>
      <c r="B82" s="59" t="s">
        <v>224</v>
      </c>
      <c r="C82" s="59"/>
      <c r="D82" s="59"/>
      <c r="E82" s="30">
        <v>70</v>
      </c>
      <c r="F82" s="32">
        <v>11</v>
      </c>
      <c r="G82" s="32">
        <v>13.6</v>
      </c>
      <c r="H82" s="32">
        <v>2.19</v>
      </c>
      <c r="I82" s="32">
        <v>175.7</v>
      </c>
      <c r="J82" s="32">
        <v>0</v>
      </c>
    </row>
    <row r="83" spans="1:10">
      <c r="A83" s="4"/>
      <c r="B83" s="59"/>
      <c r="C83" s="59"/>
      <c r="D83" s="59"/>
      <c r="E83" s="30"/>
      <c r="F83" s="32"/>
      <c r="G83" s="32"/>
      <c r="H83" s="32"/>
      <c r="I83" s="32"/>
      <c r="J83" s="32"/>
    </row>
    <row r="84" spans="1:10">
      <c r="A84" s="4" t="s">
        <v>24</v>
      </c>
      <c r="B84" s="59" t="s">
        <v>104</v>
      </c>
      <c r="C84" s="59"/>
      <c r="D84" s="59"/>
      <c r="E84" s="30">
        <v>150</v>
      </c>
      <c r="F84" s="32">
        <v>0.2</v>
      </c>
      <c r="G84" s="32">
        <v>0</v>
      </c>
      <c r="H84" s="32">
        <v>14.5</v>
      </c>
      <c r="I84" s="32">
        <v>53</v>
      </c>
      <c r="J84" s="32">
        <v>37.6</v>
      </c>
    </row>
    <row r="85" spans="1:10">
      <c r="A85" s="4"/>
      <c r="B85" s="59" t="s">
        <v>15</v>
      </c>
      <c r="C85" s="59"/>
      <c r="D85" s="59"/>
      <c r="E85" s="30">
        <v>20</v>
      </c>
      <c r="F85" s="32">
        <v>1.32</v>
      </c>
      <c r="G85" s="32">
        <v>0.12</v>
      </c>
      <c r="H85" s="32">
        <v>9.84</v>
      </c>
      <c r="I85" s="32">
        <v>46.6</v>
      </c>
      <c r="J85" s="32">
        <f t="shared" ref="J85" si="10">0.2/100*E85</f>
        <v>0.04</v>
      </c>
    </row>
    <row r="86" spans="1:10">
      <c r="A86" s="4"/>
      <c r="B86" s="59" t="s">
        <v>16</v>
      </c>
      <c r="C86" s="59"/>
      <c r="D86" s="59"/>
      <c r="E86" s="30">
        <v>30</v>
      </c>
      <c r="F86" s="32">
        <f>2.64/40*E86</f>
        <v>1.98</v>
      </c>
      <c r="G86" s="32">
        <f>0/40*E86</f>
        <v>0</v>
      </c>
      <c r="H86" s="32">
        <f>0.48/40*E86</f>
        <v>0.36</v>
      </c>
      <c r="I86" s="32">
        <f>13.36/40*E86</f>
        <v>10.02</v>
      </c>
      <c r="J86" s="32">
        <f>0/40*E86</f>
        <v>0</v>
      </c>
    </row>
    <row r="87" spans="1:10">
      <c r="A87" s="4"/>
      <c r="B87" s="64" t="s">
        <v>166</v>
      </c>
      <c r="C87" s="64"/>
      <c r="D87" s="64"/>
      <c r="E87" s="33">
        <f t="shared" ref="E87:J87" si="11">SUM(E77:E86)</f>
        <v>567.5</v>
      </c>
      <c r="F87" s="34">
        <f t="shared" si="11"/>
        <v>19.2</v>
      </c>
      <c r="G87" s="34">
        <f t="shared" si="11"/>
        <v>21.66</v>
      </c>
      <c r="H87" s="34">
        <f t="shared" si="11"/>
        <v>57.94</v>
      </c>
      <c r="I87" s="34">
        <f t="shared" si="11"/>
        <v>483.41999999999996</v>
      </c>
      <c r="J87" s="34">
        <f t="shared" si="11"/>
        <v>52.76</v>
      </c>
    </row>
    <row r="88" spans="1:10">
      <c r="A88" s="4"/>
      <c r="B88" s="73" t="s">
        <v>17</v>
      </c>
      <c r="C88" s="74"/>
      <c r="D88" s="75"/>
      <c r="E88" s="30"/>
      <c r="F88" s="32"/>
      <c r="G88" s="32"/>
      <c r="H88" s="32"/>
      <c r="I88" s="32"/>
      <c r="J88" s="32"/>
    </row>
    <row r="89" spans="1:10">
      <c r="A89" s="4" t="s">
        <v>159</v>
      </c>
      <c r="B89" s="59" t="s">
        <v>106</v>
      </c>
      <c r="C89" s="59"/>
      <c r="D89" s="59"/>
      <c r="E89" s="30">
        <v>60</v>
      </c>
      <c r="F89" s="32">
        <v>5.3</v>
      </c>
      <c r="G89" s="32">
        <v>3.9</v>
      </c>
      <c r="H89" s="32">
        <v>33.799999999999997</v>
      </c>
      <c r="I89" s="32">
        <v>188</v>
      </c>
      <c r="J89" s="32">
        <v>0.1</v>
      </c>
    </row>
    <row r="90" spans="1:10" s="2" customFormat="1">
      <c r="A90" s="4"/>
      <c r="B90" s="59" t="s">
        <v>210</v>
      </c>
      <c r="C90" s="59"/>
      <c r="D90" s="59"/>
      <c r="E90" s="30">
        <v>150</v>
      </c>
      <c r="F90" s="32">
        <v>4.83</v>
      </c>
      <c r="G90" s="32">
        <v>5.33</v>
      </c>
      <c r="H90" s="32">
        <v>7.83</v>
      </c>
      <c r="I90" s="32">
        <v>98.33</v>
      </c>
      <c r="J90" s="32">
        <v>2.17</v>
      </c>
    </row>
    <row r="91" spans="1:10">
      <c r="A91" s="4"/>
      <c r="B91" s="59"/>
      <c r="C91" s="59"/>
      <c r="D91" s="59"/>
      <c r="E91" s="30"/>
      <c r="F91" s="32"/>
      <c r="G91" s="32"/>
      <c r="H91" s="32"/>
      <c r="I91" s="32"/>
      <c r="J91" s="32"/>
    </row>
    <row r="92" spans="1:10">
      <c r="A92" s="4"/>
      <c r="B92" s="64" t="s">
        <v>166</v>
      </c>
      <c r="C92" s="64"/>
      <c r="D92" s="64"/>
      <c r="E92" s="33">
        <f>SUM(E89:E91)</f>
        <v>210</v>
      </c>
      <c r="F92" s="34">
        <f t="shared" ref="F92:J92" si="12">SUM(F89:F91)</f>
        <v>10.129999999999999</v>
      </c>
      <c r="G92" s="34">
        <f t="shared" si="12"/>
        <v>9.23</v>
      </c>
      <c r="H92" s="34">
        <f t="shared" si="12"/>
        <v>41.629999999999995</v>
      </c>
      <c r="I92" s="34">
        <f t="shared" si="12"/>
        <v>286.33</v>
      </c>
      <c r="J92" s="34">
        <f t="shared" si="12"/>
        <v>2.27</v>
      </c>
    </row>
    <row r="93" spans="1:10">
      <c r="A93" s="4"/>
      <c r="B93" s="77" t="s">
        <v>19</v>
      </c>
      <c r="C93" s="77"/>
      <c r="D93" s="77"/>
      <c r="E93" s="35">
        <f>E74+E75+E87+E92</f>
        <v>1086.5</v>
      </c>
      <c r="F93" s="37">
        <f t="shared" ref="F93:J93" si="13">F74+F75+F87+F92</f>
        <v>39.460999999999999</v>
      </c>
      <c r="G93" s="37">
        <f t="shared" si="13"/>
        <v>42.602000000000004</v>
      </c>
      <c r="H93" s="37">
        <f t="shared" si="13"/>
        <v>153.91999999999999</v>
      </c>
      <c r="I93" s="37">
        <f t="shared" si="13"/>
        <v>1121.76</v>
      </c>
      <c r="J93" s="37">
        <f t="shared" si="13"/>
        <v>65.578999999999994</v>
      </c>
    </row>
    <row r="94" spans="1:10">
      <c r="A94" s="4" t="s">
        <v>54</v>
      </c>
      <c r="B94" s="59"/>
      <c r="C94" s="59"/>
      <c r="D94" s="59"/>
      <c r="E94" s="30"/>
      <c r="F94" s="32"/>
      <c r="G94" s="32"/>
      <c r="H94" s="32"/>
      <c r="I94" s="32">
        <f>I93*100/1963</f>
        <v>57.145185939887924</v>
      </c>
      <c r="J94" s="32"/>
    </row>
    <row r="95" spans="1:10">
      <c r="A95" s="68" t="s">
        <v>31</v>
      </c>
      <c r="B95" s="68"/>
      <c r="C95" s="68"/>
      <c r="D95" s="68"/>
      <c r="E95" s="68"/>
      <c r="F95" s="68"/>
      <c r="G95" s="68"/>
      <c r="H95" s="68"/>
      <c r="I95" s="68"/>
      <c r="J95" s="68"/>
    </row>
    <row r="96" spans="1:10">
      <c r="A96" s="4"/>
      <c r="B96" s="73" t="s">
        <v>8</v>
      </c>
      <c r="C96" s="74"/>
      <c r="D96" s="75"/>
      <c r="E96" s="30"/>
      <c r="F96" s="32"/>
      <c r="G96" s="32"/>
      <c r="H96" s="32"/>
      <c r="I96" s="32"/>
      <c r="J96" s="32"/>
    </row>
    <row r="97" spans="1:10">
      <c r="A97" s="4" t="s">
        <v>281</v>
      </c>
      <c r="B97" s="59" t="s">
        <v>282</v>
      </c>
      <c r="C97" s="59"/>
      <c r="D97" s="59"/>
      <c r="E97" s="30">
        <v>150</v>
      </c>
      <c r="F97" s="32">
        <v>2.6</v>
      </c>
      <c r="G97" s="32">
        <v>2.7</v>
      </c>
      <c r="H97" s="32">
        <v>9.3000000000000007</v>
      </c>
      <c r="I97" s="32">
        <v>71</v>
      </c>
      <c r="J97" s="32">
        <v>0.3</v>
      </c>
    </row>
    <row r="98" spans="1:10">
      <c r="A98" s="4" t="s">
        <v>225</v>
      </c>
      <c r="B98" s="59" t="s">
        <v>226</v>
      </c>
      <c r="C98" s="59"/>
      <c r="D98" s="59"/>
      <c r="E98" s="30">
        <v>50</v>
      </c>
      <c r="F98" s="32">
        <v>4.7</v>
      </c>
      <c r="G98" s="32">
        <v>7.5</v>
      </c>
      <c r="H98" s="32">
        <v>0.4</v>
      </c>
      <c r="I98" s="32">
        <v>88</v>
      </c>
      <c r="J98" s="32">
        <v>0</v>
      </c>
    </row>
    <row r="99" spans="1:10">
      <c r="A99" s="21" t="s">
        <v>27</v>
      </c>
      <c r="B99" s="59" t="s">
        <v>26</v>
      </c>
      <c r="C99" s="59"/>
      <c r="D99" s="59"/>
      <c r="E99" s="30">
        <v>150</v>
      </c>
      <c r="F99" s="32">
        <v>2.9</v>
      </c>
      <c r="G99" s="32">
        <v>2.6</v>
      </c>
      <c r="H99" s="32">
        <v>18.399999999999999</v>
      </c>
      <c r="I99" s="32">
        <v>101</v>
      </c>
      <c r="J99" s="32">
        <v>0.4</v>
      </c>
    </row>
    <row r="100" spans="1:10">
      <c r="A100" s="21"/>
      <c r="B100" s="59" t="s">
        <v>177</v>
      </c>
      <c r="C100" s="59"/>
      <c r="D100" s="59"/>
      <c r="E100" s="30">
        <v>25</v>
      </c>
      <c r="F100" s="32">
        <v>1.65</v>
      </c>
      <c r="G100" s="32">
        <v>0.15</v>
      </c>
      <c r="H100" s="32">
        <v>12.3</v>
      </c>
      <c r="I100" s="32">
        <v>58.25</v>
      </c>
      <c r="J100" s="32">
        <v>0</v>
      </c>
    </row>
    <row r="101" spans="1:10" s="2" customFormat="1">
      <c r="A101" s="21"/>
      <c r="B101" s="69"/>
      <c r="C101" s="70"/>
      <c r="D101" s="71"/>
      <c r="E101" s="30"/>
      <c r="F101" s="32"/>
      <c r="G101" s="32"/>
      <c r="H101" s="32"/>
      <c r="I101" s="32"/>
      <c r="J101" s="32"/>
    </row>
    <row r="102" spans="1:10">
      <c r="A102" s="4"/>
      <c r="B102" s="64" t="s">
        <v>166</v>
      </c>
      <c r="C102" s="64"/>
      <c r="D102" s="64"/>
      <c r="E102" s="33">
        <f>E97+E98+E99+45+7</f>
        <v>402</v>
      </c>
      <c r="F102" s="34">
        <f>SUM(F97:F100)</f>
        <v>11.850000000000001</v>
      </c>
      <c r="G102" s="34">
        <f t="shared" ref="G102:J102" si="14">SUM(G97:G100)</f>
        <v>12.95</v>
      </c>
      <c r="H102" s="34">
        <f t="shared" si="14"/>
        <v>40.400000000000006</v>
      </c>
      <c r="I102" s="34">
        <f t="shared" si="14"/>
        <v>318.25</v>
      </c>
      <c r="J102" s="34">
        <f t="shared" si="14"/>
        <v>0.7</v>
      </c>
    </row>
    <row r="103" spans="1:10">
      <c r="A103" s="21" t="s">
        <v>13</v>
      </c>
      <c r="B103" s="11" t="s">
        <v>167</v>
      </c>
      <c r="C103" s="12"/>
      <c r="D103" s="12"/>
      <c r="E103" s="30">
        <v>100</v>
      </c>
      <c r="F103" s="32">
        <v>0.4</v>
      </c>
      <c r="G103" s="32">
        <v>0.4</v>
      </c>
      <c r="H103" s="32">
        <v>9.8000000000000007</v>
      </c>
      <c r="I103" s="32">
        <v>42.7</v>
      </c>
      <c r="J103" s="32">
        <v>10</v>
      </c>
    </row>
    <row r="104" spans="1:10">
      <c r="A104" s="13"/>
      <c r="B104" s="68" t="s">
        <v>12</v>
      </c>
      <c r="C104" s="68"/>
      <c r="D104" s="68"/>
      <c r="E104" s="30"/>
      <c r="F104" s="32"/>
      <c r="G104" s="32"/>
      <c r="H104" s="32"/>
      <c r="I104" s="32"/>
      <c r="J104" s="32"/>
    </row>
    <row r="105" spans="1:10">
      <c r="A105" s="4" t="s">
        <v>87</v>
      </c>
      <c r="B105" s="59" t="s">
        <v>171</v>
      </c>
      <c r="C105" s="59"/>
      <c r="D105" s="59"/>
      <c r="E105" s="30">
        <v>40</v>
      </c>
      <c r="F105" s="32">
        <v>0.4</v>
      </c>
      <c r="G105" s="32">
        <v>3.3</v>
      </c>
      <c r="H105" s="32">
        <v>5.4</v>
      </c>
      <c r="I105" s="32">
        <v>50</v>
      </c>
      <c r="J105" s="32">
        <v>1.2</v>
      </c>
    </row>
    <row r="106" spans="1:10">
      <c r="A106" s="4" t="s">
        <v>291</v>
      </c>
      <c r="B106" s="69" t="s">
        <v>88</v>
      </c>
      <c r="C106" s="70"/>
      <c r="D106" s="71"/>
      <c r="E106" s="30">
        <v>150</v>
      </c>
      <c r="F106" s="32">
        <v>1.1000000000000001</v>
      </c>
      <c r="G106" s="32">
        <v>1.9</v>
      </c>
      <c r="H106" s="32">
        <v>5.6</v>
      </c>
      <c r="I106" s="32">
        <v>40</v>
      </c>
      <c r="J106" s="32">
        <v>8.1</v>
      </c>
    </row>
    <row r="107" spans="1:10">
      <c r="A107" s="4"/>
      <c r="B107" s="59"/>
      <c r="C107" s="59"/>
      <c r="D107" s="59"/>
      <c r="E107" s="30"/>
      <c r="F107" s="32"/>
      <c r="G107" s="32"/>
      <c r="H107" s="32"/>
      <c r="I107" s="32"/>
      <c r="J107" s="32"/>
    </row>
    <row r="108" spans="1:10">
      <c r="A108" s="4" t="s">
        <v>267</v>
      </c>
      <c r="B108" s="76" t="s">
        <v>268</v>
      </c>
      <c r="C108" s="76"/>
      <c r="D108" s="76"/>
      <c r="E108" s="30">
        <v>100</v>
      </c>
      <c r="F108" s="32">
        <v>5.7</v>
      </c>
      <c r="G108" s="32">
        <v>4.5999999999999996</v>
      </c>
      <c r="H108" s="32">
        <v>30.4</v>
      </c>
      <c r="I108" s="32">
        <v>167</v>
      </c>
      <c r="J108" s="32">
        <v>0.6</v>
      </c>
    </row>
    <row r="109" spans="1:10">
      <c r="A109" s="4" t="s">
        <v>227</v>
      </c>
      <c r="B109" s="59" t="s">
        <v>228</v>
      </c>
      <c r="C109" s="59"/>
      <c r="D109" s="59"/>
      <c r="E109" s="30">
        <v>70</v>
      </c>
      <c r="F109" s="32">
        <v>11.6</v>
      </c>
      <c r="G109" s="32">
        <v>11.4</v>
      </c>
      <c r="H109" s="32">
        <v>4.3</v>
      </c>
      <c r="I109" s="32">
        <v>166</v>
      </c>
      <c r="J109" s="32">
        <v>0.2</v>
      </c>
    </row>
    <row r="110" spans="1:10">
      <c r="A110" s="4" t="s">
        <v>273</v>
      </c>
      <c r="B110" s="59" t="s">
        <v>272</v>
      </c>
      <c r="C110" s="59"/>
      <c r="D110" s="59"/>
      <c r="E110" s="30">
        <v>150</v>
      </c>
      <c r="F110" s="32">
        <v>0</v>
      </c>
      <c r="G110" s="32">
        <v>0</v>
      </c>
      <c r="H110" s="32">
        <v>15.6</v>
      </c>
      <c r="I110" s="32">
        <v>62.55</v>
      </c>
      <c r="J110" s="32">
        <v>37.700000000000003</v>
      </c>
    </row>
    <row r="111" spans="1:10">
      <c r="A111" s="4"/>
      <c r="B111" s="59" t="s">
        <v>16</v>
      </c>
      <c r="C111" s="59"/>
      <c r="D111" s="59"/>
      <c r="E111" s="30">
        <v>30</v>
      </c>
      <c r="F111" s="32">
        <f>2.64/40*E111</f>
        <v>1.98</v>
      </c>
      <c r="G111" s="32">
        <f>0/40*E111</f>
        <v>0</v>
      </c>
      <c r="H111" s="32">
        <f>0.48/40*E111</f>
        <v>0.36</v>
      </c>
      <c r="I111" s="32">
        <f>13.36/40*E111</f>
        <v>10.02</v>
      </c>
      <c r="J111" s="32">
        <f>0/40*E111</f>
        <v>0</v>
      </c>
    </row>
    <row r="112" spans="1:10">
      <c r="A112" s="4"/>
      <c r="B112" s="59" t="s">
        <v>15</v>
      </c>
      <c r="C112" s="59"/>
      <c r="D112" s="59"/>
      <c r="E112" s="30">
        <v>15</v>
      </c>
      <c r="F112" s="32">
        <v>0.99</v>
      </c>
      <c r="G112" s="32">
        <v>0.09</v>
      </c>
      <c r="H112" s="32">
        <v>7.38</v>
      </c>
      <c r="I112" s="32">
        <v>34.950000000000003</v>
      </c>
      <c r="J112" s="32">
        <v>0.02</v>
      </c>
    </row>
    <row r="113" spans="1:10">
      <c r="A113" s="4"/>
      <c r="B113" s="25" t="s">
        <v>166</v>
      </c>
      <c r="C113" s="26"/>
      <c r="D113" s="27"/>
      <c r="E113" s="33">
        <f>SUM(E105:E112)</f>
        <v>555</v>
      </c>
      <c r="F113" s="34">
        <f t="shared" ref="F113:J113" si="15">SUM(F105:F112)</f>
        <v>21.77</v>
      </c>
      <c r="G113" s="34">
        <f t="shared" si="15"/>
        <v>21.29</v>
      </c>
      <c r="H113" s="34">
        <f t="shared" si="15"/>
        <v>69.039999999999992</v>
      </c>
      <c r="I113" s="34">
        <f t="shared" si="15"/>
        <v>530.52</v>
      </c>
      <c r="J113" s="34">
        <f t="shared" si="15"/>
        <v>47.82</v>
      </c>
    </row>
    <row r="114" spans="1:10">
      <c r="A114" s="4"/>
      <c r="B114" s="100" t="s">
        <v>17</v>
      </c>
      <c r="C114" s="101"/>
      <c r="D114" s="102"/>
      <c r="E114" s="30"/>
      <c r="F114" s="32"/>
      <c r="G114" s="32"/>
      <c r="H114" s="32"/>
      <c r="I114" s="32"/>
      <c r="J114" s="32"/>
    </row>
    <row r="115" spans="1:10">
      <c r="A115" s="4" t="s">
        <v>36</v>
      </c>
      <c r="B115" s="59" t="s">
        <v>85</v>
      </c>
      <c r="C115" s="59"/>
      <c r="D115" s="59"/>
      <c r="E115" s="30">
        <v>80</v>
      </c>
      <c r="F115" s="32">
        <f>9.8/100*E115</f>
        <v>7.84</v>
      </c>
      <c r="G115" s="32">
        <f>13.1/100*E115</f>
        <v>10.48</v>
      </c>
      <c r="H115" s="32">
        <f>1.7/100*E115</f>
        <v>1.36</v>
      </c>
      <c r="I115" s="32">
        <f>164/100*E115</f>
        <v>131.19999999999999</v>
      </c>
      <c r="J115" s="32">
        <f>0.1/100*E115</f>
        <v>0.08</v>
      </c>
    </row>
    <row r="116" spans="1:10">
      <c r="A116" s="4"/>
      <c r="B116" s="59" t="s">
        <v>34</v>
      </c>
      <c r="C116" s="59"/>
      <c r="D116" s="59"/>
      <c r="E116" s="30">
        <v>150</v>
      </c>
      <c r="F116" s="32">
        <v>4.83</v>
      </c>
      <c r="G116" s="32">
        <v>5.33</v>
      </c>
      <c r="H116" s="32">
        <v>7.83</v>
      </c>
      <c r="I116" s="32">
        <v>98.33</v>
      </c>
      <c r="J116" s="32">
        <v>2.17</v>
      </c>
    </row>
    <row r="117" spans="1:10">
      <c r="A117" s="4"/>
      <c r="B117" s="59" t="s">
        <v>15</v>
      </c>
      <c r="C117" s="59"/>
      <c r="D117" s="59"/>
      <c r="E117" s="30">
        <v>10</v>
      </c>
      <c r="F117" s="32">
        <v>0.66</v>
      </c>
      <c r="G117" s="32">
        <v>0.06</v>
      </c>
      <c r="H117" s="32">
        <v>4.92</v>
      </c>
      <c r="I117" s="32">
        <v>23.3</v>
      </c>
      <c r="J117" s="32">
        <v>0</v>
      </c>
    </row>
    <row r="118" spans="1:10">
      <c r="A118" s="4"/>
      <c r="B118" s="64" t="s">
        <v>166</v>
      </c>
      <c r="C118" s="64"/>
      <c r="D118" s="64"/>
      <c r="E118" s="33">
        <f>SUM(E115:E117)</f>
        <v>240</v>
      </c>
      <c r="F118" s="34">
        <f t="shared" ref="F118:J118" si="16">SUM(F115:F116)</f>
        <v>12.67</v>
      </c>
      <c r="G118" s="34">
        <f t="shared" si="16"/>
        <v>15.81</v>
      </c>
      <c r="H118" s="34">
        <f t="shared" si="16"/>
        <v>9.19</v>
      </c>
      <c r="I118" s="34">
        <f t="shared" si="16"/>
        <v>229.52999999999997</v>
      </c>
      <c r="J118" s="34">
        <f t="shared" si="16"/>
        <v>2.25</v>
      </c>
    </row>
    <row r="119" spans="1:10">
      <c r="A119" s="4"/>
      <c r="B119" s="77" t="s">
        <v>169</v>
      </c>
      <c r="C119" s="77"/>
      <c r="D119" s="77"/>
      <c r="E119" s="35">
        <f>E102+E103+E113+E118</f>
        <v>1297</v>
      </c>
      <c r="F119" s="37">
        <f t="shared" ref="F119:J119" si="17">F102+F103+F113+F118</f>
        <v>46.690000000000005</v>
      </c>
      <c r="G119" s="37">
        <f t="shared" si="17"/>
        <v>50.45</v>
      </c>
      <c r="H119" s="37">
        <f t="shared" si="17"/>
        <v>128.43</v>
      </c>
      <c r="I119" s="37">
        <f t="shared" si="17"/>
        <v>1121</v>
      </c>
      <c r="J119" s="37">
        <f t="shared" si="17"/>
        <v>60.769999999999996</v>
      </c>
    </row>
    <row r="120" spans="1:10">
      <c r="A120" s="4" t="s">
        <v>54</v>
      </c>
      <c r="B120" s="59"/>
      <c r="C120" s="59"/>
      <c r="D120" s="59"/>
      <c r="E120" s="30"/>
      <c r="F120" s="32"/>
      <c r="G120" s="32"/>
      <c r="H120" s="32"/>
      <c r="I120" s="32">
        <f>I119*100/1963</f>
        <v>57.106469689251149</v>
      </c>
      <c r="J120" s="32"/>
    </row>
    <row r="121" spans="1:10" ht="12" customHeight="1">
      <c r="A121" s="68" t="s">
        <v>37</v>
      </c>
      <c r="B121" s="68"/>
      <c r="C121" s="68"/>
      <c r="D121" s="68"/>
      <c r="E121" s="68"/>
      <c r="F121" s="68"/>
      <c r="G121" s="68"/>
      <c r="H121" s="68"/>
      <c r="I121" s="68"/>
      <c r="J121" s="68"/>
    </row>
    <row r="122" spans="1:10">
      <c r="A122" s="13"/>
      <c r="B122" s="73" t="s">
        <v>8</v>
      </c>
      <c r="C122" s="74"/>
      <c r="D122" s="75"/>
      <c r="E122" s="30"/>
      <c r="F122" s="32"/>
      <c r="G122" s="32"/>
      <c r="H122" s="32"/>
      <c r="I122" s="32"/>
      <c r="J122" s="32"/>
    </row>
    <row r="123" spans="1:10">
      <c r="A123" s="4" t="s">
        <v>51</v>
      </c>
      <c r="B123" s="59" t="s">
        <v>229</v>
      </c>
      <c r="C123" s="59"/>
      <c r="D123" s="59"/>
      <c r="E123" s="30">
        <v>150</v>
      </c>
      <c r="F123" s="32">
        <v>5.4</v>
      </c>
      <c r="G123" s="32">
        <v>5</v>
      </c>
      <c r="H123" s="32">
        <v>25.2</v>
      </c>
      <c r="I123" s="32">
        <v>155</v>
      </c>
      <c r="J123" s="32">
        <v>0.3</v>
      </c>
    </row>
    <row r="124" spans="1:10">
      <c r="A124" s="4"/>
      <c r="B124" s="59"/>
      <c r="C124" s="59"/>
      <c r="D124" s="59"/>
      <c r="E124" s="30"/>
      <c r="F124" s="32"/>
      <c r="G124" s="32"/>
      <c r="H124" s="32"/>
      <c r="I124" s="32"/>
      <c r="J124" s="32"/>
    </row>
    <row r="125" spans="1:10">
      <c r="A125" s="21" t="s">
        <v>9</v>
      </c>
      <c r="B125" s="69" t="s">
        <v>63</v>
      </c>
      <c r="C125" s="70"/>
      <c r="D125" s="71"/>
      <c r="E125" s="30">
        <v>150</v>
      </c>
      <c r="F125" s="42">
        <v>2.2999999999999998</v>
      </c>
      <c r="G125" s="42">
        <v>2.2000000000000002</v>
      </c>
      <c r="H125" s="42">
        <v>10</v>
      </c>
      <c r="I125" s="42">
        <v>67</v>
      </c>
      <c r="J125" s="42">
        <v>0.4</v>
      </c>
    </row>
    <row r="126" spans="1:10">
      <c r="A126" s="21" t="s">
        <v>11</v>
      </c>
      <c r="B126" s="59" t="s">
        <v>208</v>
      </c>
      <c r="C126" s="59"/>
      <c r="D126" s="59"/>
      <c r="E126" s="30" t="s">
        <v>289</v>
      </c>
      <c r="F126" s="32">
        <v>1.89</v>
      </c>
      <c r="G126" s="32">
        <v>3.85</v>
      </c>
      <c r="H126" s="32">
        <v>11.75</v>
      </c>
      <c r="I126" s="32">
        <v>91.01</v>
      </c>
      <c r="J126" s="32">
        <v>0</v>
      </c>
    </row>
    <row r="127" spans="1:10" s="2" customFormat="1">
      <c r="A127" s="21"/>
      <c r="B127" s="69"/>
      <c r="C127" s="70"/>
      <c r="D127" s="71"/>
      <c r="E127" s="30"/>
      <c r="F127" s="32"/>
      <c r="G127" s="32"/>
      <c r="H127" s="32"/>
      <c r="I127" s="32"/>
      <c r="J127" s="32"/>
    </row>
    <row r="128" spans="1:10">
      <c r="A128" s="4"/>
      <c r="B128" s="64" t="s">
        <v>166</v>
      </c>
      <c r="C128" s="64"/>
      <c r="D128" s="64"/>
      <c r="E128" s="33">
        <f>E123+E125+45+7</f>
        <v>352</v>
      </c>
      <c r="F128" s="34">
        <f>SUM(F123:F126)</f>
        <v>9.59</v>
      </c>
      <c r="G128" s="34">
        <f t="shared" ref="G128:J128" si="18">SUM(G123:G126)</f>
        <v>11.05</v>
      </c>
      <c r="H128" s="34">
        <f t="shared" si="18"/>
        <v>46.95</v>
      </c>
      <c r="I128" s="34">
        <f t="shared" si="18"/>
        <v>313.01</v>
      </c>
      <c r="J128" s="34">
        <f t="shared" si="18"/>
        <v>0.7</v>
      </c>
    </row>
    <row r="129" spans="1:10">
      <c r="A129" s="21" t="s">
        <v>13</v>
      </c>
      <c r="B129" s="11" t="s">
        <v>167</v>
      </c>
      <c r="C129" s="12"/>
      <c r="D129" s="12"/>
      <c r="E129" s="30">
        <v>100</v>
      </c>
      <c r="F129" s="32">
        <v>0.4</v>
      </c>
      <c r="G129" s="32">
        <v>0.4</v>
      </c>
      <c r="H129" s="32">
        <v>9.8000000000000007</v>
      </c>
      <c r="I129" s="32">
        <v>42.7</v>
      </c>
      <c r="J129" s="32">
        <v>10</v>
      </c>
    </row>
    <row r="130" spans="1:10">
      <c r="A130" s="4"/>
      <c r="B130" s="68" t="s">
        <v>12</v>
      </c>
      <c r="C130" s="68"/>
      <c r="D130" s="68"/>
      <c r="E130" s="30"/>
      <c r="F130" s="32"/>
      <c r="G130" s="32"/>
      <c r="H130" s="32"/>
      <c r="I130" s="32"/>
      <c r="J130" s="32"/>
    </row>
    <row r="131" spans="1:10">
      <c r="A131" s="4" t="s">
        <v>134</v>
      </c>
      <c r="B131" s="59" t="s">
        <v>236</v>
      </c>
      <c r="C131" s="59"/>
      <c r="D131" s="59"/>
      <c r="E131" s="30">
        <v>40</v>
      </c>
      <c r="F131" s="32">
        <v>0.7</v>
      </c>
      <c r="G131" s="32">
        <v>2.7</v>
      </c>
      <c r="H131" s="32">
        <v>4.8</v>
      </c>
      <c r="I131" s="32">
        <v>43</v>
      </c>
      <c r="J131" s="32">
        <v>12</v>
      </c>
    </row>
    <row r="132" spans="1:10">
      <c r="A132" s="4" t="s">
        <v>172</v>
      </c>
      <c r="B132" s="59" t="s">
        <v>243</v>
      </c>
      <c r="C132" s="59"/>
      <c r="D132" s="59"/>
      <c r="E132" s="30">
        <v>150</v>
      </c>
      <c r="F132" s="32">
        <f>0.8/100*E132</f>
        <v>1.2</v>
      </c>
      <c r="G132" s="32">
        <f>2.6/100*E132</f>
        <v>3.9000000000000004</v>
      </c>
      <c r="H132" s="32">
        <f>4.9/100*E132</f>
        <v>7.3500000000000005</v>
      </c>
      <c r="I132" s="32">
        <f>44/100*E132</f>
        <v>66</v>
      </c>
      <c r="J132" s="32">
        <f>3.4/100*E132</f>
        <v>5.1000000000000005</v>
      </c>
    </row>
    <row r="133" spans="1:10">
      <c r="A133" s="4"/>
      <c r="B133" s="69" t="s">
        <v>89</v>
      </c>
      <c r="C133" s="70"/>
      <c r="D133" s="71"/>
      <c r="E133" s="30">
        <v>7</v>
      </c>
      <c r="F133" s="32">
        <v>1.88</v>
      </c>
      <c r="G133" s="32">
        <v>1.34</v>
      </c>
      <c r="H133" s="32">
        <v>6.3E-2</v>
      </c>
      <c r="I133" s="32">
        <v>19.809999999999999</v>
      </c>
      <c r="J133" s="32">
        <v>0.01</v>
      </c>
    </row>
    <row r="134" spans="1:10">
      <c r="A134" s="4" t="s">
        <v>22</v>
      </c>
      <c r="B134" s="59" t="s">
        <v>244</v>
      </c>
      <c r="C134" s="59"/>
      <c r="D134" s="59"/>
      <c r="E134" s="30">
        <v>100</v>
      </c>
      <c r="F134" s="32">
        <v>2.1</v>
      </c>
      <c r="G134" s="32">
        <v>2.8</v>
      </c>
      <c r="H134" s="32">
        <v>14.9</v>
      </c>
      <c r="I134" s="32">
        <v>90</v>
      </c>
      <c r="J134" s="32">
        <v>7.2</v>
      </c>
    </row>
    <row r="135" spans="1:10">
      <c r="A135" s="4" t="s">
        <v>292</v>
      </c>
      <c r="B135" s="59" t="s">
        <v>274</v>
      </c>
      <c r="C135" s="59"/>
      <c r="D135" s="59"/>
      <c r="E135" s="30">
        <v>80</v>
      </c>
      <c r="F135" s="32">
        <v>9</v>
      </c>
      <c r="G135" s="32">
        <v>4.8</v>
      </c>
      <c r="H135" s="32">
        <v>8.6</v>
      </c>
      <c r="I135" s="32">
        <v>114</v>
      </c>
      <c r="J135" s="32">
        <v>0.52</v>
      </c>
    </row>
    <row r="136" spans="1:10">
      <c r="A136" s="4" t="s">
        <v>258</v>
      </c>
      <c r="B136" s="76" t="s">
        <v>280</v>
      </c>
      <c r="C136" s="76"/>
      <c r="D136" s="76"/>
      <c r="E136" s="30">
        <v>150</v>
      </c>
      <c r="F136" s="32">
        <v>0.3</v>
      </c>
      <c r="G136" s="32">
        <v>0.1</v>
      </c>
      <c r="H136" s="32">
        <v>15</v>
      </c>
      <c r="I136" s="32">
        <v>54</v>
      </c>
      <c r="J136" s="32">
        <v>52.6</v>
      </c>
    </row>
    <row r="137" spans="1:10">
      <c r="A137" s="21"/>
      <c r="B137" s="59" t="s">
        <v>15</v>
      </c>
      <c r="C137" s="59"/>
      <c r="D137" s="59"/>
      <c r="E137" s="30">
        <v>20</v>
      </c>
      <c r="F137" s="32">
        <v>1.32</v>
      </c>
      <c r="G137" s="32">
        <v>0.12</v>
      </c>
      <c r="H137" s="32">
        <v>9.84</v>
      </c>
      <c r="I137" s="32">
        <v>46.6</v>
      </c>
      <c r="J137" s="32">
        <f t="shared" ref="J137" si="19">0.2/100*E137</f>
        <v>0.04</v>
      </c>
    </row>
    <row r="138" spans="1:10">
      <c r="A138" s="21"/>
      <c r="B138" s="59" t="s">
        <v>16</v>
      </c>
      <c r="C138" s="59"/>
      <c r="D138" s="59"/>
      <c r="E138" s="30">
        <v>30</v>
      </c>
      <c r="F138" s="32">
        <f>2.64/40*E138</f>
        <v>1.98</v>
      </c>
      <c r="G138" s="32">
        <f>0/40*E138</f>
        <v>0</v>
      </c>
      <c r="H138" s="32">
        <f>0.48/40*E138</f>
        <v>0.36</v>
      </c>
      <c r="I138" s="32">
        <f>13.36/40*E138</f>
        <v>10.02</v>
      </c>
      <c r="J138" s="32">
        <f>0/40*E138</f>
        <v>0</v>
      </c>
    </row>
    <row r="139" spans="1:10">
      <c r="A139" s="4"/>
      <c r="B139" s="64" t="s">
        <v>166</v>
      </c>
      <c r="C139" s="64"/>
      <c r="D139" s="64"/>
      <c r="E139" s="33">
        <f>SUM(E131:E138)</f>
        <v>577</v>
      </c>
      <c r="F139" s="34">
        <f t="shared" ref="F139:J139" si="20">SUM(F131:F138)</f>
        <v>18.48</v>
      </c>
      <c r="G139" s="34">
        <f t="shared" si="20"/>
        <v>15.759999999999998</v>
      </c>
      <c r="H139" s="34">
        <f t="shared" si="20"/>
        <v>60.912999999999997</v>
      </c>
      <c r="I139" s="34">
        <f t="shared" si="20"/>
        <v>443.43</v>
      </c>
      <c r="J139" s="34">
        <f t="shared" si="20"/>
        <v>77.470000000000013</v>
      </c>
    </row>
    <row r="140" spans="1:10">
      <c r="A140" s="4"/>
      <c r="B140" s="73" t="s">
        <v>17</v>
      </c>
      <c r="C140" s="74"/>
      <c r="D140" s="75"/>
      <c r="E140" s="30"/>
      <c r="F140" s="32"/>
      <c r="G140" s="32"/>
      <c r="H140" s="32"/>
      <c r="I140" s="32"/>
      <c r="J140" s="32"/>
    </row>
    <row r="141" spans="1:10">
      <c r="A141" s="4"/>
      <c r="B141" s="59" t="s">
        <v>245</v>
      </c>
      <c r="C141" s="59"/>
      <c r="D141" s="59"/>
      <c r="E141" s="30">
        <v>60</v>
      </c>
      <c r="F141" s="32">
        <v>2.86</v>
      </c>
      <c r="G141" s="32">
        <v>1.68</v>
      </c>
      <c r="H141" s="32">
        <v>46.62</v>
      </c>
      <c r="I141" s="32">
        <v>210</v>
      </c>
      <c r="J141" s="32">
        <v>0</v>
      </c>
    </row>
    <row r="142" spans="1:10">
      <c r="A142" s="4"/>
      <c r="B142" s="59" t="s">
        <v>218</v>
      </c>
      <c r="C142" s="59"/>
      <c r="D142" s="59"/>
      <c r="E142" s="30">
        <v>150</v>
      </c>
      <c r="F142" s="32">
        <f>2.9/100*E142</f>
        <v>4.3499999999999996</v>
      </c>
      <c r="G142" s="32">
        <v>5.4</v>
      </c>
      <c r="H142" s="32">
        <v>8.1</v>
      </c>
      <c r="I142" s="32">
        <v>108.8</v>
      </c>
      <c r="J142" s="32">
        <v>0.9</v>
      </c>
    </row>
    <row r="143" spans="1:10">
      <c r="A143" s="4"/>
      <c r="B143" s="64" t="s">
        <v>166</v>
      </c>
      <c r="C143" s="64"/>
      <c r="D143" s="64"/>
      <c r="E143" s="33">
        <f>SUM(E141:E142)</f>
        <v>210</v>
      </c>
      <c r="F143" s="34">
        <f t="shared" ref="F143:J143" si="21">SUM(F141:F142)</f>
        <v>7.2099999999999991</v>
      </c>
      <c r="G143" s="34">
        <f t="shared" si="21"/>
        <v>7.08</v>
      </c>
      <c r="H143" s="34">
        <f t="shared" si="21"/>
        <v>54.72</v>
      </c>
      <c r="I143" s="34">
        <f t="shared" si="21"/>
        <v>318.8</v>
      </c>
      <c r="J143" s="34">
        <f t="shared" si="21"/>
        <v>0.9</v>
      </c>
    </row>
    <row r="144" spans="1:10">
      <c r="A144" s="4"/>
      <c r="B144" s="77" t="s">
        <v>169</v>
      </c>
      <c r="C144" s="77"/>
      <c r="D144" s="77"/>
      <c r="E144" s="35">
        <f t="shared" ref="E144:J144" si="22">E128+E129+E139+E143</f>
        <v>1239</v>
      </c>
      <c r="F144" s="37">
        <f t="shared" si="22"/>
        <v>35.68</v>
      </c>
      <c r="G144" s="37">
        <f t="shared" si="22"/>
        <v>34.29</v>
      </c>
      <c r="H144" s="37">
        <f t="shared" si="22"/>
        <v>172.38299999999998</v>
      </c>
      <c r="I144" s="37">
        <f t="shared" si="22"/>
        <v>1117.94</v>
      </c>
      <c r="J144" s="37">
        <f t="shared" si="22"/>
        <v>89.070000000000022</v>
      </c>
    </row>
    <row r="145" spans="1:10">
      <c r="A145" s="4" t="s">
        <v>54</v>
      </c>
      <c r="B145" s="59"/>
      <c r="C145" s="59"/>
      <c r="D145" s="59"/>
      <c r="E145" s="30"/>
      <c r="F145" s="32"/>
      <c r="G145" s="32"/>
      <c r="H145" s="32"/>
      <c r="I145" s="32">
        <f>I144*100/1963</f>
        <v>56.950585838003057</v>
      </c>
      <c r="J145" s="32"/>
    </row>
    <row r="146" spans="1:10">
      <c r="A146" s="68" t="s">
        <v>55</v>
      </c>
      <c r="B146" s="68"/>
      <c r="C146" s="68"/>
      <c r="D146" s="68"/>
      <c r="E146" s="68"/>
      <c r="F146" s="68"/>
      <c r="G146" s="68"/>
      <c r="H146" s="68"/>
      <c r="I146" s="68"/>
      <c r="J146" s="68"/>
    </row>
    <row r="147" spans="1:10">
      <c r="A147" s="4" t="s">
        <v>231</v>
      </c>
      <c r="B147" s="59" t="s">
        <v>237</v>
      </c>
      <c r="C147" s="59"/>
      <c r="D147" s="59"/>
      <c r="E147" s="30">
        <v>150</v>
      </c>
      <c r="F147" s="32">
        <v>5.5</v>
      </c>
      <c r="G147" s="32">
        <v>5.9</v>
      </c>
      <c r="H147" s="32">
        <v>24.3</v>
      </c>
      <c r="I147" s="32">
        <v>164</v>
      </c>
      <c r="J147" s="32">
        <v>0.4</v>
      </c>
    </row>
    <row r="148" spans="1:10">
      <c r="A148" s="4"/>
      <c r="B148" s="59" t="s">
        <v>238</v>
      </c>
      <c r="C148" s="59"/>
      <c r="D148" s="59"/>
      <c r="E148" s="30"/>
      <c r="F148" s="32"/>
      <c r="G148" s="32"/>
      <c r="H148" s="32"/>
      <c r="I148" s="32"/>
      <c r="J148" s="32"/>
    </row>
    <row r="149" spans="1:10">
      <c r="A149" s="21" t="s">
        <v>47</v>
      </c>
      <c r="B149" s="69" t="s">
        <v>246</v>
      </c>
      <c r="C149" s="70"/>
      <c r="D149" s="71"/>
      <c r="E149" s="30">
        <v>150</v>
      </c>
      <c r="F149" s="32">
        <f>0/100*E149</f>
        <v>0</v>
      </c>
      <c r="G149" s="32">
        <f>0/100*E149</f>
        <v>0</v>
      </c>
      <c r="H149" s="32">
        <f>4.6/100*E149</f>
        <v>6.8999999999999995</v>
      </c>
      <c r="I149" s="32">
        <v>27</v>
      </c>
      <c r="J149" s="32">
        <f>0.4/100*E149</f>
        <v>0.6</v>
      </c>
    </row>
    <row r="150" spans="1:10" s="2" customFormat="1">
      <c r="A150" s="21"/>
      <c r="B150" s="69"/>
      <c r="C150" s="70"/>
      <c r="D150" s="71"/>
      <c r="E150" s="30">
        <v>5</v>
      </c>
      <c r="F150" s="32"/>
      <c r="G150" s="32"/>
      <c r="H150" s="32"/>
      <c r="I150" s="32"/>
      <c r="J150" s="32"/>
    </row>
    <row r="151" spans="1:10">
      <c r="A151" s="21" t="s">
        <v>11</v>
      </c>
      <c r="B151" s="59" t="s">
        <v>208</v>
      </c>
      <c r="C151" s="59"/>
      <c r="D151" s="59"/>
      <c r="E151" s="30" t="s">
        <v>289</v>
      </c>
      <c r="F151" s="32">
        <v>1.89</v>
      </c>
      <c r="G151" s="32">
        <v>3.85</v>
      </c>
      <c r="H151" s="32">
        <v>11.75</v>
      </c>
      <c r="I151" s="32">
        <v>91.01</v>
      </c>
      <c r="J151" s="32">
        <v>0</v>
      </c>
    </row>
    <row r="152" spans="1:10" s="2" customFormat="1">
      <c r="A152" s="4" t="s">
        <v>57</v>
      </c>
      <c r="B152" s="59" t="s">
        <v>53</v>
      </c>
      <c r="C152" s="59"/>
      <c r="D152" s="59"/>
      <c r="E152" s="30">
        <v>7</v>
      </c>
      <c r="F152" s="32">
        <f>2.63/10*E152</f>
        <v>1.8410000000000002</v>
      </c>
      <c r="G152" s="32">
        <f>2.66/10*E152</f>
        <v>1.8620000000000001</v>
      </c>
      <c r="H152" s="32">
        <f>0/10*E152</f>
        <v>0</v>
      </c>
      <c r="I152" s="32">
        <f>105/30*E152</f>
        <v>24.5</v>
      </c>
      <c r="J152" s="32">
        <f>0.07/10*E152</f>
        <v>4.9000000000000009E-2</v>
      </c>
    </row>
    <row r="153" spans="1:10">
      <c r="A153" s="4"/>
      <c r="B153" s="59"/>
      <c r="C153" s="59"/>
      <c r="D153" s="59"/>
      <c r="E153" s="30"/>
      <c r="F153" s="32"/>
      <c r="G153" s="32"/>
      <c r="H153" s="32"/>
      <c r="I153" s="32"/>
      <c r="J153" s="32"/>
    </row>
    <row r="154" spans="1:10">
      <c r="A154" s="4"/>
      <c r="B154" s="25" t="s">
        <v>166</v>
      </c>
      <c r="C154" s="26"/>
      <c r="D154" s="26"/>
      <c r="E154" s="33">
        <f>E147+E149+45+7+E153</f>
        <v>352</v>
      </c>
      <c r="F154" s="34">
        <f>SUM(F147:F153)</f>
        <v>9.2309999999999999</v>
      </c>
      <c r="G154" s="34">
        <f t="shared" ref="G154:J154" si="23">SUM(G147:G153)</f>
        <v>11.612</v>
      </c>
      <c r="H154" s="34">
        <f t="shared" si="23"/>
        <v>42.95</v>
      </c>
      <c r="I154" s="34">
        <f t="shared" si="23"/>
        <v>306.51</v>
      </c>
      <c r="J154" s="34">
        <f t="shared" si="23"/>
        <v>1.0489999999999999</v>
      </c>
    </row>
    <row r="155" spans="1:10">
      <c r="A155" s="21" t="s">
        <v>13</v>
      </c>
      <c r="B155" s="11" t="s">
        <v>167</v>
      </c>
      <c r="C155" s="12"/>
      <c r="D155" s="12"/>
      <c r="E155" s="30">
        <v>100</v>
      </c>
      <c r="F155" s="32">
        <v>0.4</v>
      </c>
      <c r="G155" s="32">
        <v>0.4</v>
      </c>
      <c r="H155" s="32">
        <v>9.8000000000000007</v>
      </c>
      <c r="I155" s="32">
        <v>42.7</v>
      </c>
      <c r="J155" s="32">
        <v>10</v>
      </c>
    </row>
    <row r="156" spans="1:10">
      <c r="A156" s="13"/>
      <c r="B156" s="68" t="s">
        <v>12</v>
      </c>
      <c r="C156" s="68"/>
      <c r="D156" s="68"/>
      <c r="E156" s="30"/>
      <c r="F156" s="31"/>
      <c r="G156" s="31"/>
      <c r="H156" s="31"/>
      <c r="I156" s="31"/>
      <c r="J156" s="31"/>
    </row>
    <row r="157" spans="1:10">
      <c r="A157" s="13" t="s">
        <v>131</v>
      </c>
      <c r="B157" s="59" t="s">
        <v>100</v>
      </c>
      <c r="C157" s="59"/>
      <c r="D157" s="59"/>
      <c r="E157" s="30">
        <v>40</v>
      </c>
      <c r="F157" s="32">
        <v>0.5</v>
      </c>
      <c r="G157" s="32">
        <v>2.6</v>
      </c>
      <c r="H157" s="32">
        <v>5.2</v>
      </c>
      <c r="I157" s="32">
        <v>43</v>
      </c>
      <c r="J157" s="32">
        <v>1.8</v>
      </c>
    </row>
    <row r="158" spans="1:10">
      <c r="A158" s="50" t="s">
        <v>60</v>
      </c>
      <c r="B158" s="59" t="s">
        <v>247</v>
      </c>
      <c r="C158" s="59"/>
      <c r="D158" s="59"/>
      <c r="E158" s="30" t="s">
        <v>293</v>
      </c>
      <c r="F158" s="32">
        <v>3</v>
      </c>
      <c r="G158" s="32">
        <v>2.81</v>
      </c>
      <c r="H158" s="32">
        <v>13.5</v>
      </c>
      <c r="I158" s="32">
        <v>90</v>
      </c>
      <c r="J158" s="32">
        <v>11.43</v>
      </c>
    </row>
    <row r="159" spans="1:10">
      <c r="A159" s="13"/>
      <c r="B159" s="59" t="s">
        <v>89</v>
      </c>
      <c r="C159" s="59"/>
      <c r="D159" s="59"/>
      <c r="E159" s="30">
        <v>7</v>
      </c>
      <c r="F159" s="32">
        <v>1.88</v>
      </c>
      <c r="G159" s="32">
        <v>1.34</v>
      </c>
      <c r="H159" s="32">
        <v>0.06</v>
      </c>
      <c r="I159" s="32">
        <v>56.06</v>
      </c>
      <c r="J159" s="32">
        <v>0.01</v>
      </c>
    </row>
    <row r="160" spans="1:10">
      <c r="A160" s="50" t="s">
        <v>248</v>
      </c>
      <c r="B160" s="59" t="s">
        <v>249</v>
      </c>
      <c r="C160" s="59"/>
      <c r="D160" s="59"/>
      <c r="E160" s="30">
        <v>180</v>
      </c>
      <c r="F160" s="32">
        <v>11.3</v>
      </c>
      <c r="G160" s="32">
        <v>11.6</v>
      </c>
      <c r="H160" s="32">
        <v>11.5</v>
      </c>
      <c r="I160" s="32">
        <v>190</v>
      </c>
      <c r="J160" s="32">
        <v>3</v>
      </c>
    </row>
    <row r="161" spans="1:10">
      <c r="A161" s="52" t="s">
        <v>283</v>
      </c>
      <c r="B161" s="59" t="s">
        <v>284</v>
      </c>
      <c r="C161" s="59"/>
      <c r="D161" s="59"/>
      <c r="E161" s="30">
        <v>30</v>
      </c>
      <c r="F161" s="32">
        <v>0.4</v>
      </c>
      <c r="G161" s="32">
        <v>2.2000000000000002</v>
      </c>
      <c r="H161" s="32">
        <v>1.3</v>
      </c>
      <c r="I161" s="32">
        <v>26</v>
      </c>
      <c r="J161" s="32">
        <v>0</v>
      </c>
    </row>
    <row r="162" spans="1:10">
      <c r="A162" s="50" t="s">
        <v>250</v>
      </c>
      <c r="B162" s="59" t="s">
        <v>251</v>
      </c>
      <c r="C162" s="59"/>
      <c r="D162" s="59"/>
      <c r="E162" s="30">
        <v>150</v>
      </c>
      <c r="F162" s="32">
        <v>0.5</v>
      </c>
      <c r="G162" s="32">
        <v>0</v>
      </c>
      <c r="H162" s="32">
        <v>17.8</v>
      </c>
      <c r="I162" s="32">
        <v>64</v>
      </c>
      <c r="J162" s="32">
        <v>37.6</v>
      </c>
    </row>
    <row r="163" spans="1:10">
      <c r="A163" s="13"/>
      <c r="B163" s="59" t="s">
        <v>105</v>
      </c>
      <c r="C163" s="59"/>
      <c r="D163" s="59"/>
      <c r="E163" s="30">
        <v>20</v>
      </c>
      <c r="F163" s="32">
        <v>1.32</v>
      </c>
      <c r="G163" s="32">
        <v>0.12</v>
      </c>
      <c r="H163" s="32">
        <v>9.84</v>
      </c>
      <c r="I163" s="32">
        <v>46.6</v>
      </c>
      <c r="J163" s="32">
        <f t="shared" ref="J163" si="24">0.2/100*E163</f>
        <v>0.04</v>
      </c>
    </row>
    <row r="164" spans="1:10">
      <c r="A164" s="13"/>
      <c r="B164" s="59" t="s">
        <v>16</v>
      </c>
      <c r="C164" s="59"/>
      <c r="D164" s="59"/>
      <c r="E164" s="30">
        <v>30</v>
      </c>
      <c r="F164" s="32">
        <f>2.64/40*E164</f>
        <v>1.98</v>
      </c>
      <c r="G164" s="32">
        <f>0/40*E164</f>
        <v>0</v>
      </c>
      <c r="H164" s="32">
        <f>0.48/40*E164</f>
        <v>0.36</v>
      </c>
      <c r="I164" s="32">
        <f>13.36/40*E164</f>
        <v>10.02</v>
      </c>
      <c r="J164" s="32">
        <f>0/40*E164</f>
        <v>0</v>
      </c>
    </row>
    <row r="165" spans="1:10">
      <c r="A165" s="13"/>
      <c r="B165" s="64" t="s">
        <v>166</v>
      </c>
      <c r="C165" s="64"/>
      <c r="D165" s="64"/>
      <c r="E165" s="33">
        <f>SUM(E157:E164)</f>
        <v>457</v>
      </c>
      <c r="F165" s="34">
        <f t="shared" ref="F165:J165" si="25">SUM(F157:F164)</f>
        <v>20.88</v>
      </c>
      <c r="G165" s="34">
        <f t="shared" si="25"/>
        <v>20.67</v>
      </c>
      <c r="H165" s="34">
        <f t="shared" si="25"/>
        <v>59.56</v>
      </c>
      <c r="I165" s="34">
        <f t="shared" si="25"/>
        <v>525.67999999999995</v>
      </c>
      <c r="J165" s="34">
        <f t="shared" si="25"/>
        <v>53.88</v>
      </c>
    </row>
    <row r="166" spans="1:10">
      <c r="A166" s="13"/>
      <c r="B166" s="73" t="s">
        <v>17</v>
      </c>
      <c r="C166" s="74"/>
      <c r="D166" s="75"/>
      <c r="E166" s="30"/>
      <c r="F166" s="32"/>
      <c r="G166" s="32"/>
      <c r="H166" s="32"/>
      <c r="I166" s="32"/>
      <c r="J166" s="32"/>
    </row>
    <row r="167" spans="1:10">
      <c r="A167" s="50" t="s">
        <v>252</v>
      </c>
      <c r="B167" s="59" t="s">
        <v>253</v>
      </c>
      <c r="C167" s="59"/>
      <c r="D167" s="59"/>
      <c r="E167" s="30">
        <v>60</v>
      </c>
      <c r="F167" s="32">
        <v>7.85</v>
      </c>
      <c r="G167" s="32">
        <v>7.48</v>
      </c>
      <c r="H167" s="32">
        <v>24.9</v>
      </c>
      <c r="I167" s="32">
        <v>195.69</v>
      </c>
      <c r="J167" s="32">
        <v>0.1</v>
      </c>
    </row>
    <row r="168" spans="1:10">
      <c r="A168" s="13"/>
      <c r="B168" s="59" t="s">
        <v>34</v>
      </c>
      <c r="C168" s="59"/>
      <c r="D168" s="59"/>
      <c r="E168" s="30">
        <v>150</v>
      </c>
      <c r="F168" s="32">
        <v>4.83</v>
      </c>
      <c r="G168" s="32">
        <v>5.33</v>
      </c>
      <c r="H168" s="32">
        <v>7.83</v>
      </c>
      <c r="I168" s="32">
        <v>98.33</v>
      </c>
      <c r="J168" s="32">
        <v>2.17</v>
      </c>
    </row>
    <row r="169" spans="1:10">
      <c r="A169" s="13"/>
      <c r="B169" s="64" t="s">
        <v>166</v>
      </c>
      <c r="C169" s="64"/>
      <c r="D169" s="64"/>
      <c r="E169" s="33">
        <f>SUM(E167:E168)</f>
        <v>210</v>
      </c>
      <c r="F169" s="34">
        <f t="shared" ref="F169:J169" si="26">SUM(F167:F168)</f>
        <v>12.68</v>
      </c>
      <c r="G169" s="34">
        <f t="shared" si="26"/>
        <v>12.81</v>
      </c>
      <c r="H169" s="34">
        <f t="shared" si="26"/>
        <v>32.729999999999997</v>
      </c>
      <c r="I169" s="34">
        <f t="shared" si="26"/>
        <v>294.02</v>
      </c>
      <c r="J169" s="34">
        <f t="shared" si="26"/>
        <v>2.27</v>
      </c>
    </row>
    <row r="170" spans="1:10">
      <c r="A170" s="13"/>
      <c r="B170" s="77" t="s">
        <v>19</v>
      </c>
      <c r="C170" s="77"/>
      <c r="D170" s="77"/>
      <c r="E170" s="35">
        <f>E154+E165+E169+E155</f>
        <v>1119</v>
      </c>
      <c r="F170" s="37">
        <f t="shared" ref="F170:J170" si="27">F154+F165+F169+F155</f>
        <v>43.190999999999995</v>
      </c>
      <c r="G170" s="37">
        <f t="shared" si="27"/>
        <v>45.492000000000004</v>
      </c>
      <c r="H170" s="37">
        <f t="shared" si="27"/>
        <v>145.04000000000002</v>
      </c>
      <c r="I170" s="37">
        <f t="shared" si="27"/>
        <v>1168.9100000000001</v>
      </c>
      <c r="J170" s="37">
        <f t="shared" si="27"/>
        <v>67.199000000000012</v>
      </c>
    </row>
    <row r="171" spans="1:10" ht="13.5" customHeight="1">
      <c r="A171" s="13" t="s">
        <v>54</v>
      </c>
      <c r="B171" s="59"/>
      <c r="C171" s="59"/>
      <c r="D171" s="59"/>
      <c r="E171" s="30"/>
      <c r="F171" s="32"/>
      <c r="G171" s="32"/>
      <c r="H171" s="32"/>
      <c r="I171" s="32">
        <f>I170*100/1963</f>
        <v>59.54712175241977</v>
      </c>
      <c r="J171" s="32"/>
    </row>
    <row r="172" spans="1:10" ht="12" customHeight="1">
      <c r="A172" s="68" t="s">
        <v>42</v>
      </c>
      <c r="B172" s="68"/>
      <c r="C172" s="68"/>
      <c r="D172" s="68"/>
      <c r="E172" s="68"/>
      <c r="F172" s="68"/>
      <c r="G172" s="68"/>
      <c r="H172" s="68"/>
      <c r="I172" s="68"/>
      <c r="J172" s="68"/>
    </row>
    <row r="173" spans="1:10">
      <c r="A173" s="13"/>
      <c r="B173" s="73" t="s">
        <v>8</v>
      </c>
      <c r="C173" s="74"/>
      <c r="D173" s="75"/>
      <c r="E173" s="30"/>
      <c r="F173" s="32"/>
      <c r="G173" s="32"/>
      <c r="H173" s="32"/>
      <c r="I173" s="32"/>
      <c r="J173" s="32"/>
    </row>
    <row r="174" spans="1:10">
      <c r="A174" s="4">
        <v>8.5</v>
      </c>
      <c r="B174" s="59" t="s">
        <v>271</v>
      </c>
      <c r="C174" s="59"/>
      <c r="D174" s="59"/>
      <c r="E174" s="30">
        <v>150</v>
      </c>
      <c r="F174" s="32">
        <v>19.600000000000001</v>
      </c>
      <c r="G174" s="32">
        <v>13.7</v>
      </c>
      <c r="H174" s="32">
        <v>17.100000000000001</v>
      </c>
      <c r="I174" s="32">
        <v>268</v>
      </c>
      <c r="J174" s="32">
        <v>0.6</v>
      </c>
    </row>
    <row r="175" spans="1:10">
      <c r="A175" s="21"/>
      <c r="B175" s="59"/>
      <c r="C175" s="59"/>
      <c r="D175" s="59"/>
      <c r="E175" s="30"/>
      <c r="F175" s="32"/>
      <c r="G175" s="32"/>
      <c r="H175" s="32"/>
      <c r="I175" s="32"/>
      <c r="J175" s="32"/>
    </row>
    <row r="176" spans="1:10">
      <c r="A176" s="21" t="s">
        <v>275</v>
      </c>
      <c r="B176" s="59" t="s">
        <v>269</v>
      </c>
      <c r="C176" s="59"/>
      <c r="D176" s="59"/>
      <c r="E176" s="30">
        <v>150</v>
      </c>
      <c r="F176" s="32">
        <f>0/100*E176</f>
        <v>0</v>
      </c>
      <c r="G176" s="32">
        <f>0/100*E176</f>
        <v>0</v>
      </c>
      <c r="H176" s="32">
        <v>6.8</v>
      </c>
      <c r="I176" s="32">
        <v>26</v>
      </c>
      <c r="J176" s="32">
        <v>0</v>
      </c>
    </row>
    <row r="177" spans="1:10">
      <c r="A177" s="21"/>
      <c r="B177" s="59" t="s">
        <v>177</v>
      </c>
      <c r="C177" s="59"/>
      <c r="D177" s="59"/>
      <c r="E177" s="30">
        <v>25</v>
      </c>
      <c r="F177" s="32">
        <v>1.65</v>
      </c>
      <c r="G177" s="32">
        <v>0.15</v>
      </c>
      <c r="H177" s="32">
        <v>12.3</v>
      </c>
      <c r="I177" s="32">
        <v>58.25</v>
      </c>
      <c r="J177" s="32">
        <v>0</v>
      </c>
    </row>
    <row r="178" spans="1:10" s="2" customFormat="1">
      <c r="A178" s="21"/>
      <c r="B178" s="69"/>
      <c r="C178" s="70"/>
      <c r="D178" s="71"/>
      <c r="E178" s="30"/>
      <c r="F178" s="32"/>
      <c r="G178" s="32"/>
      <c r="H178" s="32"/>
      <c r="I178" s="32"/>
      <c r="J178" s="32"/>
    </row>
    <row r="179" spans="1:10">
      <c r="A179" s="4"/>
      <c r="B179" s="64" t="s">
        <v>166</v>
      </c>
      <c r="C179" s="64"/>
      <c r="D179" s="64"/>
      <c r="E179" s="33">
        <f>E174+E175+E176+45+7</f>
        <v>352</v>
      </c>
      <c r="F179" s="34">
        <f>SUM(F174:F177)</f>
        <v>21.25</v>
      </c>
      <c r="G179" s="34">
        <f t="shared" ref="G179:J179" si="28">SUM(G174:G177)</f>
        <v>13.85</v>
      </c>
      <c r="H179" s="34">
        <f t="shared" si="28"/>
        <v>36.200000000000003</v>
      </c>
      <c r="I179" s="34">
        <f t="shared" si="28"/>
        <v>352.25</v>
      </c>
      <c r="J179" s="34">
        <f t="shared" si="28"/>
        <v>0.6</v>
      </c>
    </row>
    <row r="180" spans="1:10">
      <c r="A180" s="21" t="s">
        <v>13</v>
      </c>
      <c r="B180" s="11" t="s">
        <v>167</v>
      </c>
      <c r="C180" s="12"/>
      <c r="D180" s="12"/>
      <c r="E180" s="30">
        <v>100</v>
      </c>
      <c r="F180" s="32">
        <v>0.4</v>
      </c>
      <c r="G180" s="32">
        <v>0.4</v>
      </c>
      <c r="H180" s="32">
        <v>9.8000000000000007</v>
      </c>
      <c r="I180" s="32">
        <v>42.7</v>
      </c>
      <c r="J180" s="32">
        <v>10</v>
      </c>
    </row>
    <row r="181" spans="1:10">
      <c r="A181" s="13"/>
      <c r="B181" s="68" t="s">
        <v>12</v>
      </c>
      <c r="C181" s="68"/>
      <c r="D181" s="68"/>
      <c r="E181" s="30"/>
      <c r="F181" s="32"/>
      <c r="G181" s="32"/>
      <c r="H181" s="32"/>
      <c r="I181" s="32"/>
      <c r="J181" s="32"/>
    </row>
    <row r="182" spans="1:10">
      <c r="A182" s="4"/>
      <c r="B182" s="59" t="s">
        <v>212</v>
      </c>
      <c r="C182" s="59"/>
      <c r="D182" s="59"/>
      <c r="E182" s="30">
        <v>40</v>
      </c>
      <c r="F182" s="32">
        <v>0.44</v>
      </c>
      <c r="G182" s="32">
        <v>0.08</v>
      </c>
      <c r="H182" s="32">
        <v>1.48</v>
      </c>
      <c r="I182" s="32">
        <v>7.2</v>
      </c>
      <c r="J182" s="32">
        <v>0</v>
      </c>
    </row>
    <row r="183" spans="1:10">
      <c r="A183" s="4" t="s">
        <v>254</v>
      </c>
      <c r="B183" s="59" t="s">
        <v>255</v>
      </c>
      <c r="C183" s="59"/>
      <c r="D183" s="59"/>
      <c r="E183" s="30">
        <v>150</v>
      </c>
      <c r="F183" s="32">
        <v>1.4</v>
      </c>
      <c r="G183" s="32">
        <v>3.3</v>
      </c>
      <c r="H183" s="32">
        <v>9.4</v>
      </c>
      <c r="I183" s="32">
        <v>69</v>
      </c>
      <c r="J183" s="32">
        <v>6.3</v>
      </c>
    </row>
    <row r="184" spans="1:10">
      <c r="A184" s="4"/>
      <c r="B184" s="59" t="s">
        <v>89</v>
      </c>
      <c r="C184" s="59"/>
      <c r="D184" s="59"/>
      <c r="E184" s="30">
        <v>7</v>
      </c>
      <c r="F184" s="32">
        <v>1.88</v>
      </c>
      <c r="G184" s="32">
        <v>1.34</v>
      </c>
      <c r="H184" s="32">
        <v>0.06</v>
      </c>
      <c r="I184" s="32">
        <v>56.06</v>
      </c>
      <c r="J184" s="32">
        <v>0.01</v>
      </c>
    </row>
    <row r="185" spans="1:10">
      <c r="A185" s="4" t="s">
        <v>256</v>
      </c>
      <c r="B185" s="59" t="s">
        <v>257</v>
      </c>
      <c r="C185" s="59"/>
      <c r="D185" s="59"/>
      <c r="E185" s="30">
        <v>100</v>
      </c>
      <c r="F185" s="32">
        <v>1.9</v>
      </c>
      <c r="G185" s="32">
        <v>2.7</v>
      </c>
      <c r="H185" s="32">
        <v>12.8</v>
      </c>
      <c r="I185" s="32">
        <v>79</v>
      </c>
      <c r="J185" s="32">
        <v>5.5</v>
      </c>
    </row>
    <row r="186" spans="1:10">
      <c r="A186" s="4" t="s">
        <v>294</v>
      </c>
      <c r="B186" s="76" t="s">
        <v>295</v>
      </c>
      <c r="C186" s="76"/>
      <c r="D186" s="76"/>
      <c r="E186" s="30">
        <v>100</v>
      </c>
      <c r="F186" s="32">
        <v>13.4</v>
      </c>
      <c r="G186" s="32">
        <v>7.4</v>
      </c>
      <c r="H186" s="32">
        <v>5</v>
      </c>
      <c r="I186" s="32">
        <v>140</v>
      </c>
      <c r="J186" s="32">
        <v>9.1999999999999993</v>
      </c>
    </row>
    <row r="187" spans="1:10">
      <c r="A187" s="21" t="s">
        <v>258</v>
      </c>
      <c r="B187" s="59" t="s">
        <v>259</v>
      </c>
      <c r="C187" s="59"/>
      <c r="D187" s="59"/>
      <c r="E187" s="30">
        <v>150</v>
      </c>
      <c r="F187" s="32">
        <v>0.3</v>
      </c>
      <c r="G187" s="32">
        <v>0.1</v>
      </c>
      <c r="H187" s="32">
        <v>15</v>
      </c>
      <c r="I187" s="32">
        <v>54</v>
      </c>
      <c r="J187" s="32">
        <v>52.6</v>
      </c>
    </row>
    <row r="188" spans="1:10">
      <c r="A188" s="21"/>
      <c r="B188" s="59" t="s">
        <v>16</v>
      </c>
      <c r="C188" s="59"/>
      <c r="D188" s="59"/>
      <c r="E188" s="30">
        <v>30</v>
      </c>
      <c r="F188" s="32">
        <f>2.64/40*E188</f>
        <v>1.98</v>
      </c>
      <c r="G188" s="32">
        <f>0/40*E188</f>
        <v>0</v>
      </c>
      <c r="H188" s="32">
        <f>0.48/40*E188</f>
        <v>0.36</v>
      </c>
      <c r="I188" s="32">
        <f>13.36/40*E188</f>
        <v>10.02</v>
      </c>
      <c r="J188" s="32">
        <f>0/40*E188</f>
        <v>0</v>
      </c>
    </row>
    <row r="189" spans="1:10">
      <c r="A189" s="4"/>
      <c r="B189" s="59" t="s">
        <v>15</v>
      </c>
      <c r="C189" s="59"/>
      <c r="D189" s="59"/>
      <c r="E189" s="30">
        <v>20</v>
      </c>
      <c r="F189" s="32">
        <v>1.32</v>
      </c>
      <c r="G189" s="32">
        <v>0.12</v>
      </c>
      <c r="H189" s="32">
        <v>9.84</v>
      </c>
      <c r="I189" s="32">
        <v>46.6</v>
      </c>
      <c r="J189" s="32">
        <f t="shared" ref="J189" si="29">0.2/100*E189</f>
        <v>0.04</v>
      </c>
    </row>
    <row r="190" spans="1:10">
      <c r="A190" s="4"/>
      <c r="B190" s="25" t="s">
        <v>166</v>
      </c>
      <c r="C190" s="26"/>
      <c r="D190" s="27"/>
      <c r="E190" s="33">
        <f>SUM(E182:E189)</f>
        <v>597</v>
      </c>
      <c r="F190" s="34">
        <f t="shared" ref="F190:J190" si="30">SUM(F182:F189)</f>
        <v>22.62</v>
      </c>
      <c r="G190" s="34">
        <f t="shared" si="30"/>
        <v>15.04</v>
      </c>
      <c r="H190" s="34">
        <f t="shared" si="30"/>
        <v>53.94</v>
      </c>
      <c r="I190" s="34">
        <f t="shared" si="30"/>
        <v>461.88</v>
      </c>
      <c r="J190" s="34">
        <f t="shared" si="30"/>
        <v>73.650000000000006</v>
      </c>
    </row>
    <row r="191" spans="1:10" ht="13.5" customHeight="1">
      <c r="A191" s="4"/>
      <c r="B191" s="73" t="s">
        <v>17</v>
      </c>
      <c r="C191" s="74"/>
      <c r="D191" s="75"/>
      <c r="E191" s="30"/>
      <c r="F191" s="32"/>
      <c r="G191" s="32"/>
      <c r="H191" s="32"/>
      <c r="I191" s="32"/>
      <c r="J191" s="32"/>
    </row>
    <row r="192" spans="1:10">
      <c r="A192" s="4" t="s">
        <v>135</v>
      </c>
      <c r="B192" s="59" t="s">
        <v>217</v>
      </c>
      <c r="C192" s="59"/>
      <c r="D192" s="59"/>
      <c r="E192" s="30">
        <v>60</v>
      </c>
      <c r="F192" s="32">
        <v>4.08</v>
      </c>
      <c r="G192" s="32">
        <v>5.0999999999999996</v>
      </c>
      <c r="H192" s="32">
        <v>29.28</v>
      </c>
      <c r="I192" s="32">
        <v>175.2</v>
      </c>
      <c r="J192" s="32">
        <v>0.36</v>
      </c>
    </row>
    <row r="193" spans="1:10">
      <c r="A193" s="4"/>
      <c r="B193" s="59" t="s">
        <v>218</v>
      </c>
      <c r="C193" s="59"/>
      <c r="D193" s="59"/>
      <c r="E193" s="30">
        <v>150</v>
      </c>
      <c r="F193" s="32">
        <f>2.9/100*E193</f>
        <v>4.3499999999999996</v>
      </c>
      <c r="G193" s="32">
        <v>4.5</v>
      </c>
      <c r="H193" s="32">
        <v>6.8</v>
      </c>
      <c r="I193" s="32">
        <v>84</v>
      </c>
      <c r="J193" s="32">
        <v>0.8</v>
      </c>
    </row>
    <row r="194" spans="1:10">
      <c r="A194" s="4"/>
      <c r="B194" s="64" t="s">
        <v>166</v>
      </c>
      <c r="C194" s="64"/>
      <c r="D194" s="64"/>
      <c r="E194" s="33">
        <f>SUM(E192:E193)</f>
        <v>210</v>
      </c>
      <c r="F194" s="34">
        <f t="shared" ref="F194:J194" si="31">SUM(F192:F193)</f>
        <v>8.43</v>
      </c>
      <c r="G194" s="34">
        <f t="shared" si="31"/>
        <v>9.6</v>
      </c>
      <c r="H194" s="34">
        <f t="shared" si="31"/>
        <v>36.08</v>
      </c>
      <c r="I194" s="34">
        <f t="shared" si="31"/>
        <v>259.2</v>
      </c>
      <c r="J194" s="34">
        <f t="shared" si="31"/>
        <v>1.1600000000000001</v>
      </c>
    </row>
    <row r="195" spans="1:10">
      <c r="A195" s="4"/>
      <c r="B195" s="77" t="s">
        <v>169</v>
      </c>
      <c r="C195" s="77"/>
      <c r="D195" s="77"/>
      <c r="E195" s="35">
        <f>E179+E180+E190+E194</f>
        <v>1259</v>
      </c>
      <c r="F195" s="37">
        <f t="shared" ref="F195:J195" si="32">F179+F180+F190+F194</f>
        <v>52.699999999999996</v>
      </c>
      <c r="G195" s="37">
        <f t="shared" si="32"/>
        <v>38.89</v>
      </c>
      <c r="H195" s="37">
        <f t="shared" si="32"/>
        <v>136.01999999999998</v>
      </c>
      <c r="I195" s="37">
        <f t="shared" si="32"/>
        <v>1116.03</v>
      </c>
      <c r="J195" s="37">
        <f t="shared" si="32"/>
        <v>85.41</v>
      </c>
    </row>
    <row r="196" spans="1:10" ht="12" customHeight="1">
      <c r="A196" s="4" t="s">
        <v>54</v>
      </c>
      <c r="B196" s="59"/>
      <c r="C196" s="59"/>
      <c r="D196" s="59"/>
      <c r="E196" s="30"/>
      <c r="F196" s="32"/>
      <c r="G196" s="32"/>
      <c r="H196" s="32"/>
      <c r="I196" s="32">
        <f>I195*100/1963</f>
        <v>56.853285787060621</v>
      </c>
      <c r="J196" s="32"/>
    </row>
    <row r="197" spans="1:10">
      <c r="A197" s="68" t="s">
        <v>43</v>
      </c>
      <c r="B197" s="68"/>
      <c r="C197" s="68"/>
      <c r="D197" s="68"/>
      <c r="E197" s="68"/>
      <c r="F197" s="68"/>
      <c r="G197" s="68"/>
      <c r="H197" s="68"/>
      <c r="I197" s="68"/>
      <c r="J197" s="68"/>
    </row>
    <row r="198" spans="1:10">
      <c r="A198" s="4"/>
      <c r="B198" s="73" t="s">
        <v>8</v>
      </c>
      <c r="C198" s="74"/>
      <c r="D198" s="75"/>
      <c r="E198" s="30"/>
      <c r="F198" s="32"/>
      <c r="G198" s="32"/>
      <c r="H198" s="32"/>
      <c r="I198" s="32"/>
      <c r="J198" s="32"/>
    </row>
    <row r="199" spans="1:10">
      <c r="A199" s="4" t="s">
        <v>232</v>
      </c>
      <c r="B199" s="59" t="s">
        <v>233</v>
      </c>
      <c r="C199" s="59"/>
      <c r="D199" s="59"/>
      <c r="E199" s="30">
        <v>150</v>
      </c>
      <c r="F199" s="32">
        <v>4</v>
      </c>
      <c r="G199" s="32">
        <v>3.8</v>
      </c>
      <c r="H199" s="32">
        <v>21.4</v>
      </c>
      <c r="I199" s="32">
        <v>133</v>
      </c>
      <c r="J199" s="32">
        <v>0.3</v>
      </c>
    </row>
    <row r="200" spans="1:10">
      <c r="A200" s="4" t="s">
        <v>57</v>
      </c>
      <c r="B200" s="59" t="s">
        <v>53</v>
      </c>
      <c r="C200" s="59"/>
      <c r="D200" s="59"/>
      <c r="E200" s="30">
        <v>7</v>
      </c>
      <c r="F200" s="32">
        <f>2.63/10*E200</f>
        <v>1.8410000000000002</v>
      </c>
      <c r="G200" s="32">
        <f>2.66/10*E200</f>
        <v>1.8620000000000001</v>
      </c>
      <c r="H200" s="32">
        <f>0/10*E200</f>
        <v>0</v>
      </c>
      <c r="I200" s="32">
        <f>105/30*E200</f>
        <v>24.5</v>
      </c>
      <c r="J200" s="32">
        <f>0.07/10*E200</f>
        <v>4.9000000000000009E-2</v>
      </c>
    </row>
    <row r="201" spans="1:10">
      <c r="A201" s="21" t="s">
        <v>9</v>
      </c>
      <c r="B201" s="69" t="s">
        <v>63</v>
      </c>
      <c r="C201" s="70"/>
      <c r="D201" s="71"/>
      <c r="E201" s="30">
        <v>150</v>
      </c>
      <c r="F201" s="42">
        <v>2.2999999999999998</v>
      </c>
      <c r="G201" s="42">
        <v>2.2000000000000002</v>
      </c>
      <c r="H201" s="42">
        <v>10</v>
      </c>
      <c r="I201" s="42">
        <v>67</v>
      </c>
      <c r="J201" s="42">
        <v>0.4</v>
      </c>
    </row>
    <row r="202" spans="1:10">
      <c r="A202" s="21" t="s">
        <v>11</v>
      </c>
      <c r="B202" s="59" t="s">
        <v>208</v>
      </c>
      <c r="C202" s="59"/>
      <c r="D202" s="59"/>
      <c r="E202" s="30" t="s">
        <v>289</v>
      </c>
      <c r="F202" s="32">
        <v>1.89</v>
      </c>
      <c r="G202" s="32">
        <v>3.85</v>
      </c>
      <c r="H202" s="32">
        <v>11.75</v>
      </c>
      <c r="I202" s="32">
        <v>91.01</v>
      </c>
      <c r="J202" s="32">
        <v>0</v>
      </c>
    </row>
    <row r="203" spans="1:10" s="2" customFormat="1">
      <c r="A203" s="21"/>
      <c r="B203" s="69"/>
      <c r="C203" s="70"/>
      <c r="D203" s="71"/>
      <c r="E203" s="30"/>
      <c r="F203" s="32"/>
      <c r="G203" s="32"/>
      <c r="H203" s="32"/>
      <c r="I203" s="32"/>
      <c r="J203" s="32"/>
    </row>
    <row r="204" spans="1:10">
      <c r="A204" s="4"/>
      <c r="B204" s="64" t="s">
        <v>166</v>
      </c>
      <c r="C204" s="64"/>
      <c r="D204" s="64"/>
      <c r="E204" s="33">
        <f>E199+E200+E201+45+7</f>
        <v>359</v>
      </c>
      <c r="F204" s="34">
        <f>SUM(F199:F202)</f>
        <v>10.031000000000001</v>
      </c>
      <c r="G204" s="34">
        <f t="shared" ref="G204:J204" si="33">SUM(G199:G202)</f>
        <v>11.712</v>
      </c>
      <c r="H204" s="34">
        <f t="shared" si="33"/>
        <v>43.15</v>
      </c>
      <c r="I204" s="34">
        <f t="shared" si="33"/>
        <v>315.51</v>
      </c>
      <c r="J204" s="34">
        <f t="shared" si="33"/>
        <v>0.749</v>
      </c>
    </row>
    <row r="205" spans="1:10">
      <c r="A205" s="21" t="s">
        <v>13</v>
      </c>
      <c r="B205" s="11" t="s">
        <v>167</v>
      </c>
      <c r="C205" s="12"/>
      <c r="D205" s="12"/>
      <c r="E205" s="30">
        <v>100</v>
      </c>
      <c r="F205" s="32">
        <v>0.4</v>
      </c>
      <c r="G205" s="32">
        <v>0.4</v>
      </c>
      <c r="H205" s="32">
        <v>9.8000000000000007</v>
      </c>
      <c r="I205" s="32">
        <v>42.7</v>
      </c>
      <c r="J205" s="32">
        <v>10</v>
      </c>
    </row>
    <row r="206" spans="1:10">
      <c r="A206" s="4"/>
      <c r="B206" s="68" t="s">
        <v>12</v>
      </c>
      <c r="C206" s="68"/>
      <c r="D206" s="68"/>
      <c r="E206" s="30"/>
      <c r="F206" s="32"/>
      <c r="G206" s="32"/>
      <c r="H206" s="32"/>
      <c r="I206" s="32"/>
      <c r="J206" s="32"/>
    </row>
    <row r="207" spans="1:10">
      <c r="A207" s="4"/>
      <c r="B207" s="22" t="s">
        <v>220</v>
      </c>
      <c r="C207" s="23"/>
      <c r="D207" s="23"/>
      <c r="E207" s="30">
        <v>40</v>
      </c>
      <c r="F207" s="32">
        <v>0.32</v>
      </c>
      <c r="G207" s="32">
        <v>0.04</v>
      </c>
      <c r="H207" s="32">
        <v>1</v>
      </c>
      <c r="I207" s="32">
        <v>5.6</v>
      </c>
      <c r="J207" s="32">
        <v>3.67</v>
      </c>
    </row>
    <row r="208" spans="1:10">
      <c r="A208" s="4"/>
      <c r="B208" s="72"/>
      <c r="C208" s="72"/>
      <c r="D208" s="72"/>
      <c r="E208" s="1"/>
      <c r="F208" s="1"/>
      <c r="G208" s="1"/>
      <c r="H208" s="1"/>
      <c r="I208" s="1"/>
      <c r="J208" s="1"/>
    </row>
    <row r="209" spans="1:10">
      <c r="A209" s="4" t="s">
        <v>260</v>
      </c>
      <c r="B209" s="72" t="s">
        <v>261</v>
      </c>
      <c r="C209" s="72"/>
      <c r="D209" s="72"/>
      <c r="E209" s="30">
        <v>150</v>
      </c>
      <c r="F209" s="32">
        <v>1.3</v>
      </c>
      <c r="G209" s="32">
        <v>0.8</v>
      </c>
      <c r="H209" s="32">
        <v>9.1</v>
      </c>
      <c r="I209" s="32">
        <v>48</v>
      </c>
      <c r="J209" s="32">
        <v>1.8</v>
      </c>
    </row>
    <row r="210" spans="1:10">
      <c r="A210" s="4"/>
      <c r="B210" s="72" t="s">
        <v>262</v>
      </c>
      <c r="C210" s="72"/>
      <c r="D210" s="72"/>
      <c r="E210" s="30">
        <v>7.5</v>
      </c>
      <c r="F210" s="32">
        <v>1.43</v>
      </c>
      <c r="G210" s="32">
        <v>2.1</v>
      </c>
      <c r="H210" s="32">
        <v>9</v>
      </c>
      <c r="I210" s="32">
        <v>58.5</v>
      </c>
      <c r="J210" s="32">
        <v>0.3</v>
      </c>
    </row>
    <row r="211" spans="1:10">
      <c r="A211" s="4" t="s">
        <v>263</v>
      </c>
      <c r="B211" s="72" t="s">
        <v>264</v>
      </c>
      <c r="C211" s="72"/>
      <c r="D211" s="72"/>
      <c r="E211" s="30">
        <v>100</v>
      </c>
      <c r="F211" s="32">
        <v>2.6</v>
      </c>
      <c r="G211" s="32">
        <v>2.6</v>
      </c>
      <c r="H211" s="32">
        <v>13.1</v>
      </c>
      <c r="I211" s="32">
        <v>79</v>
      </c>
      <c r="J211" s="32">
        <v>4.5</v>
      </c>
    </row>
    <row r="212" spans="1:10">
      <c r="A212" s="4" t="s">
        <v>296</v>
      </c>
      <c r="B212" s="72" t="s">
        <v>297</v>
      </c>
      <c r="C212" s="72"/>
      <c r="D212" s="72"/>
      <c r="E212" s="30">
        <v>70</v>
      </c>
      <c r="F212" s="32">
        <v>13.9</v>
      </c>
      <c r="G212" s="32">
        <v>15.9</v>
      </c>
      <c r="H212" s="32">
        <v>3.2</v>
      </c>
      <c r="I212" s="32">
        <v>211</v>
      </c>
      <c r="J212" s="32">
        <v>0.3</v>
      </c>
    </row>
    <row r="213" spans="1:10">
      <c r="A213" s="21">
        <v>372</v>
      </c>
      <c r="B213" s="59" t="s">
        <v>120</v>
      </c>
      <c r="C213" s="59"/>
      <c r="D213" s="59"/>
      <c r="E213" s="30">
        <v>150</v>
      </c>
      <c r="F213" s="32">
        <v>0.6</v>
      </c>
      <c r="G213" s="32">
        <v>0</v>
      </c>
      <c r="H213" s="32">
        <v>8.9600000000000009</v>
      </c>
      <c r="I213" s="32">
        <v>36.6</v>
      </c>
      <c r="J213" s="32">
        <v>0</v>
      </c>
    </row>
    <row r="214" spans="1:10">
      <c r="A214" s="4"/>
      <c r="B214" s="72" t="s">
        <v>15</v>
      </c>
      <c r="C214" s="72"/>
      <c r="D214" s="72"/>
      <c r="E214" s="30">
        <v>15</v>
      </c>
      <c r="F214" s="32">
        <v>0.99</v>
      </c>
      <c r="G214" s="32">
        <v>0.12</v>
      </c>
      <c r="H214" s="32">
        <v>9.84</v>
      </c>
      <c r="I214" s="32">
        <v>46.6</v>
      </c>
      <c r="J214" s="32">
        <f t="shared" ref="J214" si="34">0.2/100*E214</f>
        <v>0.03</v>
      </c>
    </row>
    <row r="215" spans="1:10">
      <c r="A215" s="4"/>
      <c r="B215" s="72" t="s">
        <v>16</v>
      </c>
      <c r="C215" s="72"/>
      <c r="D215" s="72"/>
      <c r="E215" s="30">
        <v>30</v>
      </c>
      <c r="F215" s="32">
        <f>2.64/40*E215</f>
        <v>1.98</v>
      </c>
      <c r="G215" s="32">
        <f>0/40*E215</f>
        <v>0</v>
      </c>
      <c r="H215" s="32">
        <f>0.48/40*E215</f>
        <v>0.36</v>
      </c>
      <c r="I215" s="32">
        <f>13.36/40*E215</f>
        <v>10.02</v>
      </c>
      <c r="J215" s="32">
        <f>0/40*E215</f>
        <v>0</v>
      </c>
    </row>
    <row r="216" spans="1:10">
      <c r="A216" s="4"/>
      <c r="B216" s="60" t="s">
        <v>166</v>
      </c>
      <c r="C216" s="60"/>
      <c r="D216" s="60"/>
      <c r="E216" s="33">
        <f t="shared" ref="E216:J216" si="35">SUM(E207:E215)</f>
        <v>562.5</v>
      </c>
      <c r="F216" s="34">
        <f t="shared" si="35"/>
        <v>23.12</v>
      </c>
      <c r="G216" s="34">
        <f t="shared" si="35"/>
        <v>21.560000000000002</v>
      </c>
      <c r="H216" s="34">
        <f t="shared" si="35"/>
        <v>54.56</v>
      </c>
      <c r="I216" s="34">
        <f t="shared" si="35"/>
        <v>495.32000000000005</v>
      </c>
      <c r="J216" s="34">
        <f t="shared" si="35"/>
        <v>10.6</v>
      </c>
    </row>
    <row r="217" spans="1:10">
      <c r="A217" s="4"/>
      <c r="B217" s="73" t="s">
        <v>17</v>
      </c>
      <c r="C217" s="74"/>
      <c r="D217" s="75"/>
      <c r="E217" s="30"/>
      <c r="F217" s="32"/>
      <c r="G217" s="32"/>
      <c r="H217" s="32"/>
      <c r="I217" s="32"/>
      <c r="J217" s="32"/>
    </row>
    <row r="218" spans="1:10">
      <c r="A218" s="4" t="s">
        <v>159</v>
      </c>
      <c r="B218" s="72" t="s">
        <v>106</v>
      </c>
      <c r="C218" s="72"/>
      <c r="D218" s="72"/>
      <c r="E218" s="30">
        <v>60</v>
      </c>
      <c r="F218" s="32">
        <v>5.3</v>
      </c>
      <c r="G218" s="32">
        <v>3.9</v>
      </c>
      <c r="H218" s="32">
        <v>33.799999999999997</v>
      </c>
      <c r="I218" s="32">
        <v>188</v>
      </c>
      <c r="J218" s="32">
        <v>0.1</v>
      </c>
    </row>
    <row r="219" spans="1:10">
      <c r="A219" s="4"/>
      <c r="B219" s="72" t="s">
        <v>34</v>
      </c>
      <c r="C219" s="72"/>
      <c r="D219" s="72"/>
      <c r="E219" s="30">
        <v>150</v>
      </c>
      <c r="F219" s="32">
        <v>4.83</v>
      </c>
      <c r="G219" s="32">
        <v>5.33</v>
      </c>
      <c r="H219" s="32">
        <v>7.83</v>
      </c>
      <c r="I219" s="32">
        <v>98.33</v>
      </c>
      <c r="J219" s="32">
        <v>2.17</v>
      </c>
    </row>
    <row r="220" spans="1:10">
      <c r="A220" s="4"/>
      <c r="B220" s="60" t="s">
        <v>166</v>
      </c>
      <c r="C220" s="60"/>
      <c r="D220" s="60"/>
      <c r="E220" s="33">
        <f>SUM(E218:E219)</f>
        <v>210</v>
      </c>
      <c r="F220" s="34">
        <f t="shared" ref="F220:J220" si="36">SUM(F218:F219)</f>
        <v>10.129999999999999</v>
      </c>
      <c r="G220" s="34">
        <f t="shared" si="36"/>
        <v>9.23</v>
      </c>
      <c r="H220" s="34">
        <f t="shared" si="36"/>
        <v>41.629999999999995</v>
      </c>
      <c r="I220" s="34">
        <f t="shared" si="36"/>
        <v>286.33</v>
      </c>
      <c r="J220" s="34">
        <f t="shared" si="36"/>
        <v>2.27</v>
      </c>
    </row>
    <row r="221" spans="1:10">
      <c r="A221" s="13"/>
      <c r="B221" s="93" t="s">
        <v>19</v>
      </c>
      <c r="C221" s="94"/>
      <c r="D221" s="95"/>
      <c r="E221" s="35">
        <f>E204+E205+E216+E220</f>
        <v>1231.5</v>
      </c>
      <c r="F221" s="37">
        <f t="shared" ref="F221:J221" si="37">F204+F205+F216+F220</f>
        <v>43.680999999999997</v>
      </c>
      <c r="G221" s="37">
        <f t="shared" si="37"/>
        <v>42.902000000000001</v>
      </c>
      <c r="H221" s="37">
        <f t="shared" si="37"/>
        <v>149.13999999999999</v>
      </c>
      <c r="I221" s="37">
        <f t="shared" si="37"/>
        <v>1139.8599999999999</v>
      </c>
      <c r="J221" s="37">
        <f t="shared" si="37"/>
        <v>23.619</v>
      </c>
    </row>
    <row r="222" spans="1:10" ht="13.5" customHeight="1">
      <c r="A222" s="13" t="s">
        <v>54</v>
      </c>
      <c r="B222" s="14"/>
      <c r="C222" s="15"/>
      <c r="D222" s="16"/>
      <c r="E222" s="30"/>
      <c r="F222" s="32"/>
      <c r="G222" s="32"/>
      <c r="H222" s="32"/>
      <c r="I222" s="32">
        <f>I221*100/1963</f>
        <v>58.067244014263878</v>
      </c>
      <c r="J222" s="32"/>
    </row>
    <row r="223" spans="1:10" ht="12.75" customHeight="1">
      <c r="A223" s="68" t="s">
        <v>44</v>
      </c>
      <c r="B223" s="68"/>
      <c r="C223" s="68"/>
      <c r="D223" s="68"/>
      <c r="E223" s="68"/>
      <c r="F223" s="68"/>
      <c r="G223" s="68"/>
      <c r="H223" s="68"/>
      <c r="I223" s="68"/>
      <c r="J223" s="68"/>
    </row>
    <row r="224" spans="1:10">
      <c r="A224" s="13"/>
      <c r="B224" s="73" t="s">
        <v>8</v>
      </c>
      <c r="C224" s="74"/>
      <c r="D224" s="75"/>
      <c r="E224" s="30"/>
      <c r="F224" s="32"/>
      <c r="G224" s="32"/>
      <c r="H224" s="32"/>
      <c r="I224" s="32"/>
      <c r="J224" s="32"/>
    </row>
    <row r="225" spans="1:10">
      <c r="A225" s="4" t="s">
        <v>36</v>
      </c>
      <c r="B225" s="59" t="s">
        <v>85</v>
      </c>
      <c r="C225" s="59"/>
      <c r="D225" s="59"/>
      <c r="E225" s="30">
        <v>80</v>
      </c>
      <c r="F225" s="32">
        <f>9.8/100*E225</f>
        <v>7.84</v>
      </c>
      <c r="G225" s="32">
        <f>13.1/100*E225</f>
        <v>10.48</v>
      </c>
      <c r="H225" s="32">
        <f>1.7/100*E225</f>
        <v>1.36</v>
      </c>
      <c r="I225" s="32">
        <f>164/100*E225</f>
        <v>131.19999999999999</v>
      </c>
      <c r="J225" s="32">
        <f>0.1/100*E225</f>
        <v>0.08</v>
      </c>
    </row>
    <row r="226" spans="1:10">
      <c r="A226" s="4" t="s">
        <v>225</v>
      </c>
      <c r="B226" s="59" t="s">
        <v>226</v>
      </c>
      <c r="C226" s="59"/>
      <c r="D226" s="59"/>
      <c r="E226" s="30">
        <v>50</v>
      </c>
      <c r="F226" s="32">
        <v>4.7</v>
      </c>
      <c r="G226" s="32">
        <v>7.5</v>
      </c>
      <c r="H226" s="32">
        <v>0.4</v>
      </c>
      <c r="I226" s="32">
        <v>88</v>
      </c>
      <c r="J226" s="32">
        <v>0</v>
      </c>
    </row>
    <row r="227" spans="1:10">
      <c r="A227" s="21" t="s">
        <v>128</v>
      </c>
      <c r="B227" s="59" t="s">
        <v>230</v>
      </c>
      <c r="C227" s="59"/>
      <c r="D227" s="59"/>
      <c r="E227" s="30">
        <v>150</v>
      </c>
      <c r="F227" s="32">
        <v>1.1000000000000001</v>
      </c>
      <c r="G227" s="32">
        <v>1.1000000000000001</v>
      </c>
      <c r="H227" s="32">
        <v>8.4</v>
      </c>
      <c r="I227" s="32">
        <v>46</v>
      </c>
      <c r="J227" s="32">
        <v>0.2</v>
      </c>
    </row>
    <row r="228" spans="1:10">
      <c r="A228" s="21"/>
      <c r="B228" s="59" t="s">
        <v>177</v>
      </c>
      <c r="C228" s="59"/>
      <c r="D228" s="59"/>
      <c r="E228" s="30">
        <v>25</v>
      </c>
      <c r="F228" s="32">
        <v>1.65</v>
      </c>
      <c r="G228" s="32">
        <v>0.15</v>
      </c>
      <c r="H228" s="32">
        <v>12.3</v>
      </c>
      <c r="I228" s="32">
        <v>58.25</v>
      </c>
      <c r="J228" s="32">
        <v>0</v>
      </c>
    </row>
    <row r="229" spans="1:10" s="2" customFormat="1">
      <c r="A229" s="21"/>
      <c r="B229" s="69"/>
      <c r="C229" s="70"/>
      <c r="D229" s="71"/>
      <c r="E229" s="30"/>
      <c r="F229" s="32"/>
      <c r="G229" s="32"/>
      <c r="H229" s="32"/>
      <c r="I229" s="32"/>
      <c r="J229" s="32"/>
    </row>
    <row r="230" spans="1:10">
      <c r="A230" s="4"/>
      <c r="B230" s="60" t="s">
        <v>166</v>
      </c>
      <c r="C230" s="60"/>
      <c r="D230" s="60"/>
      <c r="E230" s="33">
        <f>E225+E226+E227+45+7</f>
        <v>332</v>
      </c>
      <c r="F230" s="34">
        <f>SUM(F225:F228)</f>
        <v>15.29</v>
      </c>
      <c r="G230" s="34">
        <f t="shared" ref="G230:J230" si="38">SUM(G225:G228)</f>
        <v>19.23</v>
      </c>
      <c r="H230" s="34">
        <f t="shared" si="38"/>
        <v>22.46</v>
      </c>
      <c r="I230" s="34">
        <f t="shared" si="38"/>
        <v>323.45</v>
      </c>
      <c r="J230" s="34">
        <f t="shared" si="38"/>
        <v>0.28000000000000003</v>
      </c>
    </row>
    <row r="231" spans="1:10">
      <c r="A231" s="21" t="s">
        <v>13</v>
      </c>
      <c r="B231" s="11" t="s">
        <v>167</v>
      </c>
      <c r="C231" s="12"/>
      <c r="D231" s="12"/>
      <c r="E231" s="30">
        <v>100</v>
      </c>
      <c r="F231" s="32">
        <v>0.4</v>
      </c>
      <c r="G231" s="32">
        <v>0.4</v>
      </c>
      <c r="H231" s="32">
        <v>9.8000000000000007</v>
      </c>
      <c r="I231" s="32">
        <v>42.7</v>
      </c>
      <c r="J231" s="32">
        <v>10</v>
      </c>
    </row>
    <row r="232" spans="1:10">
      <c r="A232" s="4"/>
      <c r="B232" s="68" t="s">
        <v>12</v>
      </c>
      <c r="C232" s="68"/>
      <c r="D232" s="68"/>
      <c r="E232" s="30"/>
      <c r="F232" s="32"/>
      <c r="G232" s="32"/>
      <c r="H232" s="32"/>
      <c r="I232" s="32"/>
      <c r="J232" s="32"/>
    </row>
    <row r="233" spans="1:10">
      <c r="A233" s="4" t="s">
        <v>239</v>
      </c>
      <c r="B233" s="72" t="s">
        <v>240</v>
      </c>
      <c r="C233" s="72"/>
      <c r="D233" s="72"/>
      <c r="E233" s="32">
        <v>40</v>
      </c>
      <c r="F233" s="32">
        <v>0.4</v>
      </c>
      <c r="G233" s="32">
        <v>2.7</v>
      </c>
      <c r="H233" s="32">
        <v>4.8</v>
      </c>
      <c r="I233" s="32">
        <v>42</v>
      </c>
      <c r="J233" s="32">
        <v>96</v>
      </c>
    </row>
    <row r="234" spans="1:10">
      <c r="A234" s="4" t="s">
        <v>265</v>
      </c>
      <c r="B234" s="72" t="s">
        <v>117</v>
      </c>
      <c r="C234" s="72"/>
      <c r="D234" s="72"/>
      <c r="E234" s="30">
        <v>150</v>
      </c>
      <c r="F234" s="32">
        <f>0.9/100*E234</f>
        <v>1.35</v>
      </c>
      <c r="G234" s="32">
        <f>2.2/100*E234</f>
        <v>3.3000000000000003</v>
      </c>
      <c r="H234" s="32">
        <f>5.9/100*E234</f>
        <v>8.8500000000000014</v>
      </c>
      <c r="I234" s="32">
        <f>44/100*E234</f>
        <v>66</v>
      </c>
      <c r="J234" s="32">
        <v>4.8</v>
      </c>
    </row>
    <row r="235" spans="1:10">
      <c r="A235" s="4"/>
      <c r="B235" s="72" t="s">
        <v>118</v>
      </c>
      <c r="C235" s="72"/>
      <c r="D235" s="72"/>
      <c r="E235" s="30">
        <v>7</v>
      </c>
      <c r="F235" s="32">
        <v>1.88</v>
      </c>
      <c r="G235" s="32">
        <v>1.34</v>
      </c>
      <c r="H235" s="32">
        <v>0.06</v>
      </c>
      <c r="I235" s="32">
        <v>56.06</v>
      </c>
      <c r="J235" s="32">
        <v>0.01</v>
      </c>
    </row>
    <row r="236" spans="1:10">
      <c r="A236" s="4" t="s">
        <v>266</v>
      </c>
      <c r="B236" s="76" t="s">
        <v>285</v>
      </c>
      <c r="C236" s="76"/>
      <c r="D236" s="76"/>
      <c r="E236" s="30">
        <v>120</v>
      </c>
      <c r="F236" s="32">
        <v>8.4</v>
      </c>
      <c r="G236" s="32">
        <v>6.36</v>
      </c>
      <c r="H236" s="32">
        <v>18.84</v>
      </c>
      <c r="I236" s="32">
        <v>162</v>
      </c>
      <c r="J236" s="32">
        <v>8.76</v>
      </c>
    </row>
    <row r="237" spans="1:10" s="2" customFormat="1">
      <c r="A237" s="4" t="s">
        <v>286</v>
      </c>
      <c r="B237" s="53" t="s">
        <v>287</v>
      </c>
      <c r="C237" s="53"/>
      <c r="D237" s="53"/>
      <c r="E237" s="30">
        <v>30</v>
      </c>
      <c r="F237" s="32">
        <v>0.6</v>
      </c>
      <c r="G237" s="32">
        <v>1.8</v>
      </c>
      <c r="H237" s="32">
        <v>2.2000000000000002</v>
      </c>
      <c r="I237" s="32">
        <v>26</v>
      </c>
      <c r="J237" s="32">
        <v>0.2</v>
      </c>
    </row>
    <row r="238" spans="1:10">
      <c r="A238" s="4" t="s">
        <v>32</v>
      </c>
      <c r="B238" s="76" t="s">
        <v>33</v>
      </c>
      <c r="C238" s="76"/>
      <c r="D238" s="76"/>
      <c r="E238" s="30">
        <v>150</v>
      </c>
      <c r="F238" s="32">
        <v>0.4</v>
      </c>
      <c r="G238" s="32">
        <v>0</v>
      </c>
      <c r="H238" s="32">
        <v>14.9</v>
      </c>
      <c r="I238" s="32">
        <v>54</v>
      </c>
      <c r="J238" s="32">
        <v>37.6</v>
      </c>
    </row>
    <row r="239" spans="1:10">
      <c r="A239" s="21"/>
      <c r="B239" s="59" t="s">
        <v>15</v>
      </c>
      <c r="C239" s="59"/>
      <c r="D239" s="59"/>
      <c r="E239" s="30">
        <v>20</v>
      </c>
      <c r="F239" s="32">
        <v>1.32</v>
      </c>
      <c r="G239" s="32">
        <v>0.12</v>
      </c>
      <c r="H239" s="32">
        <v>9.84</v>
      </c>
      <c r="I239" s="32">
        <v>46.6</v>
      </c>
      <c r="J239" s="32">
        <f t="shared" ref="J239" si="39">0.2/100*E239</f>
        <v>0.04</v>
      </c>
    </row>
    <row r="240" spans="1:10">
      <c r="A240" s="21"/>
      <c r="B240" s="59" t="s">
        <v>16</v>
      </c>
      <c r="C240" s="59"/>
      <c r="D240" s="59"/>
      <c r="E240" s="30">
        <v>30</v>
      </c>
      <c r="F240" s="32">
        <f>2.64/40*E240</f>
        <v>1.98</v>
      </c>
      <c r="G240" s="32">
        <f>0/40*E240</f>
        <v>0</v>
      </c>
      <c r="H240" s="32">
        <f>0.48/40*E240</f>
        <v>0.36</v>
      </c>
      <c r="I240" s="32">
        <f>13.36/40*E240</f>
        <v>10.02</v>
      </c>
      <c r="J240" s="32">
        <f>0/40*E240</f>
        <v>0</v>
      </c>
    </row>
    <row r="241" spans="1:10">
      <c r="A241" s="4"/>
      <c r="B241" s="60" t="s">
        <v>166</v>
      </c>
      <c r="C241" s="60"/>
      <c r="D241" s="60"/>
      <c r="E241" s="33">
        <f>SUM(E233:E240)</f>
        <v>547</v>
      </c>
      <c r="F241" s="34">
        <f t="shared" ref="F241:J241" si="40">SUM(F233:F240)</f>
        <v>16.330000000000002</v>
      </c>
      <c r="G241" s="34">
        <f t="shared" si="40"/>
        <v>15.62</v>
      </c>
      <c r="H241" s="34">
        <f t="shared" si="40"/>
        <v>59.850000000000009</v>
      </c>
      <c r="I241" s="34">
        <f t="shared" si="40"/>
        <v>462.68</v>
      </c>
      <c r="J241" s="34">
        <f t="shared" si="40"/>
        <v>147.41</v>
      </c>
    </row>
    <row r="242" spans="1:10" ht="12" customHeight="1">
      <c r="A242" s="4"/>
      <c r="B242" s="73" t="s">
        <v>17</v>
      </c>
      <c r="C242" s="74"/>
      <c r="D242" s="75"/>
      <c r="E242" s="30"/>
      <c r="F242" s="32"/>
      <c r="G242" s="32"/>
      <c r="H242" s="32"/>
      <c r="I242" s="32"/>
      <c r="J242" s="32"/>
    </row>
    <row r="243" spans="1:10">
      <c r="A243" s="4" t="s">
        <v>277</v>
      </c>
      <c r="B243" s="72" t="s">
        <v>276</v>
      </c>
      <c r="C243" s="72"/>
      <c r="D243" s="72"/>
      <c r="E243" s="30">
        <v>60</v>
      </c>
      <c r="F243" s="32">
        <v>3.5</v>
      </c>
      <c r="G243" s="32">
        <v>3</v>
      </c>
      <c r="H243" s="32">
        <v>37.450000000000003</v>
      </c>
      <c r="I243" s="32">
        <v>184.3</v>
      </c>
      <c r="J243" s="32">
        <v>0.09</v>
      </c>
    </row>
    <row r="244" spans="1:10">
      <c r="A244" s="4"/>
      <c r="B244" s="59" t="s">
        <v>34</v>
      </c>
      <c r="C244" s="59"/>
      <c r="D244" s="59"/>
      <c r="E244" s="30">
        <v>150</v>
      </c>
      <c r="F244" s="32">
        <v>4.83</v>
      </c>
      <c r="G244" s="32">
        <v>5.33</v>
      </c>
      <c r="H244" s="32">
        <v>7.83</v>
      </c>
      <c r="I244" s="32">
        <v>98.33</v>
      </c>
      <c r="J244" s="32">
        <v>2.17</v>
      </c>
    </row>
    <row r="245" spans="1:10">
      <c r="A245" s="4"/>
      <c r="B245" s="60" t="s">
        <v>166</v>
      </c>
      <c r="C245" s="60"/>
      <c r="D245" s="60"/>
      <c r="E245" s="33">
        <f>SUM(E243:E244)</f>
        <v>210</v>
      </c>
      <c r="F245" s="34">
        <f t="shared" ref="F245:J245" si="41">SUM(F243:F244)</f>
        <v>8.33</v>
      </c>
      <c r="G245" s="34">
        <f t="shared" si="41"/>
        <v>8.33</v>
      </c>
      <c r="H245" s="34">
        <f t="shared" si="41"/>
        <v>45.28</v>
      </c>
      <c r="I245" s="34">
        <f t="shared" si="41"/>
        <v>282.63</v>
      </c>
      <c r="J245" s="34">
        <f t="shared" si="41"/>
        <v>2.2599999999999998</v>
      </c>
    </row>
    <row r="246" spans="1:10">
      <c r="A246" s="4"/>
      <c r="B246" s="61" t="s">
        <v>19</v>
      </c>
      <c r="C246" s="62"/>
      <c r="D246" s="63"/>
      <c r="E246" s="35">
        <f t="shared" ref="E246:J246" si="42">E230+E231+E241+E245</f>
        <v>1189</v>
      </c>
      <c r="F246" s="37">
        <f t="shared" si="42"/>
        <v>40.35</v>
      </c>
      <c r="G246" s="37">
        <f t="shared" si="42"/>
        <v>43.58</v>
      </c>
      <c r="H246" s="37">
        <f t="shared" si="42"/>
        <v>137.39000000000001</v>
      </c>
      <c r="I246" s="37">
        <f t="shared" si="42"/>
        <v>1111.46</v>
      </c>
      <c r="J246" s="37">
        <f t="shared" si="42"/>
        <v>159.94999999999999</v>
      </c>
    </row>
    <row r="247" spans="1:10">
      <c r="A247" s="4" t="s">
        <v>54</v>
      </c>
      <c r="B247" s="17"/>
      <c r="C247" s="18"/>
      <c r="D247" s="19"/>
      <c r="E247" s="30"/>
      <c r="F247" s="32"/>
      <c r="G247" s="32"/>
      <c r="H247" s="32"/>
      <c r="I247" s="32">
        <f>I246*100/1963</f>
        <v>56.620478858889456</v>
      </c>
      <c r="J247" s="32"/>
    </row>
    <row r="248" spans="1:10">
      <c r="A248" s="68" t="s">
        <v>50</v>
      </c>
      <c r="B248" s="68"/>
      <c r="C248" s="68"/>
      <c r="D248" s="68"/>
      <c r="E248" s="68"/>
      <c r="F248" s="68"/>
      <c r="G248" s="68"/>
      <c r="H248" s="68"/>
      <c r="I248" s="68"/>
      <c r="J248" s="68"/>
    </row>
    <row r="249" spans="1:10">
      <c r="A249" s="13"/>
      <c r="B249" s="73" t="s">
        <v>8</v>
      </c>
      <c r="C249" s="74"/>
      <c r="D249" s="75"/>
      <c r="E249" s="30"/>
      <c r="F249" s="32"/>
      <c r="G249" s="32"/>
      <c r="H249" s="32"/>
      <c r="I249" s="32"/>
      <c r="J249" s="32"/>
    </row>
    <row r="250" spans="1:10">
      <c r="A250" s="4" t="s">
        <v>127</v>
      </c>
      <c r="B250" s="72" t="s">
        <v>234</v>
      </c>
      <c r="C250" s="72"/>
      <c r="D250" s="72"/>
      <c r="E250" s="30">
        <v>150</v>
      </c>
      <c r="F250" s="32">
        <v>3.7</v>
      </c>
      <c r="G250" s="32">
        <v>4.4000000000000004</v>
      </c>
      <c r="H250" s="32">
        <v>19.8</v>
      </c>
      <c r="I250" s="32">
        <v>132</v>
      </c>
      <c r="J250" s="32">
        <v>0.4</v>
      </c>
    </row>
    <row r="251" spans="1:10">
      <c r="A251" s="4"/>
      <c r="B251" s="72" t="s">
        <v>235</v>
      </c>
      <c r="C251" s="72"/>
      <c r="D251" s="72"/>
      <c r="E251" s="30"/>
      <c r="F251" s="32"/>
      <c r="G251" s="32"/>
      <c r="H251" s="32"/>
      <c r="I251" s="32"/>
      <c r="J251" s="32"/>
    </row>
    <row r="252" spans="1:10">
      <c r="A252" s="21" t="s">
        <v>27</v>
      </c>
      <c r="B252" s="59" t="s">
        <v>26</v>
      </c>
      <c r="C252" s="59"/>
      <c r="D252" s="59"/>
      <c r="E252" s="30">
        <v>150</v>
      </c>
      <c r="F252" s="32">
        <v>2.9</v>
      </c>
      <c r="G252" s="32">
        <v>2.6</v>
      </c>
      <c r="H252" s="32">
        <v>18.399999999999999</v>
      </c>
      <c r="I252" s="32">
        <v>101</v>
      </c>
      <c r="J252" s="32">
        <v>0.4</v>
      </c>
    </row>
    <row r="253" spans="1:10">
      <c r="A253" s="21" t="s">
        <v>11</v>
      </c>
      <c r="B253" s="59" t="s">
        <v>208</v>
      </c>
      <c r="C253" s="59"/>
      <c r="D253" s="59"/>
      <c r="E253" s="30" t="s">
        <v>289</v>
      </c>
      <c r="F253" s="32">
        <v>1.89</v>
      </c>
      <c r="G253" s="32">
        <v>3.85</v>
      </c>
      <c r="H253" s="32">
        <v>11.75</v>
      </c>
      <c r="I253" s="32">
        <v>91.01</v>
      </c>
      <c r="J253" s="32">
        <v>0</v>
      </c>
    </row>
    <row r="254" spans="1:10" s="2" customFormat="1">
      <c r="A254" s="21"/>
      <c r="B254" s="69"/>
      <c r="C254" s="70"/>
      <c r="D254" s="71"/>
      <c r="E254" s="30"/>
      <c r="F254" s="32"/>
      <c r="G254" s="32"/>
      <c r="H254" s="32"/>
      <c r="I254" s="32"/>
      <c r="J254" s="32"/>
    </row>
    <row r="255" spans="1:10">
      <c r="A255" s="4"/>
      <c r="B255" s="60" t="s">
        <v>166</v>
      </c>
      <c r="C255" s="60"/>
      <c r="D255" s="60"/>
      <c r="E255" s="33">
        <f>E250+E251+E252+45+7</f>
        <v>352</v>
      </c>
      <c r="F255" s="34">
        <f>SUM(F250:F253)</f>
        <v>8.49</v>
      </c>
      <c r="G255" s="34">
        <f t="shared" ref="G255:J255" si="43">SUM(G250:G253)</f>
        <v>10.85</v>
      </c>
      <c r="H255" s="34">
        <f t="shared" si="43"/>
        <v>49.95</v>
      </c>
      <c r="I255" s="34">
        <f t="shared" si="43"/>
        <v>324.01</v>
      </c>
      <c r="J255" s="34">
        <f t="shared" si="43"/>
        <v>0.8</v>
      </c>
    </row>
    <row r="256" spans="1:10">
      <c r="A256" s="21" t="s">
        <v>13</v>
      </c>
      <c r="B256" s="11" t="s">
        <v>167</v>
      </c>
      <c r="C256" s="12"/>
      <c r="D256" s="12"/>
      <c r="E256" s="30">
        <v>100</v>
      </c>
      <c r="F256" s="32">
        <v>0.4</v>
      </c>
      <c r="G256" s="32">
        <v>0.4</v>
      </c>
      <c r="H256" s="32">
        <v>9.8000000000000007</v>
      </c>
      <c r="I256" s="32">
        <v>42.7</v>
      </c>
      <c r="J256" s="32">
        <v>10</v>
      </c>
    </row>
    <row r="257" spans="1:10">
      <c r="A257" s="13"/>
      <c r="B257" s="68" t="s">
        <v>12</v>
      </c>
      <c r="C257" s="68"/>
      <c r="D257" s="68"/>
      <c r="E257" s="30"/>
      <c r="F257" s="31"/>
      <c r="G257" s="31"/>
      <c r="H257" s="31"/>
      <c r="I257" s="31"/>
      <c r="J257" s="31"/>
    </row>
    <row r="258" spans="1:10">
      <c r="A258" s="50" t="s">
        <v>73</v>
      </c>
      <c r="B258" s="59" t="s">
        <v>241</v>
      </c>
      <c r="C258" s="59"/>
      <c r="D258" s="59"/>
      <c r="E258" s="30">
        <v>40</v>
      </c>
      <c r="F258" s="32">
        <v>0.6</v>
      </c>
      <c r="G258" s="32">
        <v>2.7</v>
      </c>
      <c r="H258" s="32">
        <v>4.4000000000000004</v>
      </c>
      <c r="I258" s="32">
        <v>43</v>
      </c>
      <c r="J258" s="32">
        <v>1.9</v>
      </c>
    </row>
    <row r="259" spans="1:10">
      <c r="A259" s="13"/>
      <c r="B259" s="59" t="s">
        <v>242</v>
      </c>
      <c r="C259" s="59"/>
      <c r="D259" s="59"/>
      <c r="E259" s="30"/>
      <c r="F259" s="32"/>
      <c r="G259" s="32"/>
      <c r="H259" s="32"/>
      <c r="I259" s="32"/>
      <c r="J259" s="32"/>
    </row>
    <row r="260" spans="1:10">
      <c r="A260" s="13" t="s">
        <v>157</v>
      </c>
      <c r="B260" s="59" t="s">
        <v>288</v>
      </c>
      <c r="C260" s="59"/>
      <c r="D260" s="59"/>
      <c r="E260" s="30">
        <v>150</v>
      </c>
      <c r="F260" s="32">
        <v>1.9</v>
      </c>
      <c r="G260" s="32">
        <v>3</v>
      </c>
      <c r="H260" s="32">
        <v>7.4</v>
      </c>
      <c r="I260" s="32">
        <v>59</v>
      </c>
      <c r="J260" s="32">
        <v>1.1000000000000001</v>
      </c>
    </row>
    <row r="261" spans="1:10">
      <c r="A261" s="52"/>
      <c r="B261" s="59"/>
      <c r="C261" s="59"/>
      <c r="D261" s="59"/>
      <c r="E261" s="30"/>
      <c r="F261" s="32"/>
      <c r="G261" s="32"/>
      <c r="H261" s="32"/>
      <c r="I261" s="32"/>
      <c r="J261" s="32"/>
    </row>
    <row r="262" spans="1:10">
      <c r="A262" s="51" t="s">
        <v>278</v>
      </c>
      <c r="B262" s="59" t="s">
        <v>126</v>
      </c>
      <c r="C262" s="59"/>
      <c r="D262" s="59"/>
      <c r="E262" s="30">
        <v>150</v>
      </c>
      <c r="F262" s="32">
        <v>20.53</v>
      </c>
      <c r="G262" s="32">
        <v>17.55</v>
      </c>
      <c r="H262" s="32">
        <v>14.36</v>
      </c>
      <c r="I262" s="32">
        <v>297</v>
      </c>
      <c r="J262" s="32">
        <v>0.13</v>
      </c>
    </row>
    <row r="263" spans="1:10">
      <c r="A263" s="50" t="s">
        <v>24</v>
      </c>
      <c r="B263" s="59" t="s">
        <v>104</v>
      </c>
      <c r="C263" s="59"/>
      <c r="D263" s="59"/>
      <c r="E263" s="30">
        <v>150</v>
      </c>
      <c r="F263" s="32">
        <v>0.2</v>
      </c>
      <c r="G263" s="32">
        <v>0</v>
      </c>
      <c r="H263" s="32">
        <v>14.5</v>
      </c>
      <c r="I263" s="32">
        <v>53</v>
      </c>
      <c r="J263" s="32">
        <v>37.6</v>
      </c>
    </row>
    <row r="264" spans="1:10">
      <c r="A264" s="13"/>
      <c r="B264" s="59" t="s">
        <v>15</v>
      </c>
      <c r="C264" s="59"/>
      <c r="D264" s="59"/>
      <c r="E264" s="30">
        <v>20</v>
      </c>
      <c r="F264" s="32">
        <v>1.32</v>
      </c>
      <c r="G264" s="32">
        <v>0.12</v>
      </c>
      <c r="H264" s="32">
        <v>9.84</v>
      </c>
      <c r="I264" s="32">
        <v>46.6</v>
      </c>
      <c r="J264" s="32">
        <f t="shared" ref="J264" si="44">0.2/100*E264</f>
        <v>0.04</v>
      </c>
    </row>
    <row r="265" spans="1:10">
      <c r="A265" s="13"/>
      <c r="B265" s="59" t="s">
        <v>16</v>
      </c>
      <c r="C265" s="59"/>
      <c r="D265" s="59"/>
      <c r="E265" s="30">
        <v>30</v>
      </c>
      <c r="F265" s="32">
        <f>2.64/40*E265</f>
        <v>1.98</v>
      </c>
      <c r="G265" s="32">
        <f>0/40*E265</f>
        <v>0</v>
      </c>
      <c r="H265" s="32">
        <f>0.48/40*E265</f>
        <v>0.36</v>
      </c>
      <c r="I265" s="32">
        <f>13.36/40*E265</f>
        <v>10.02</v>
      </c>
      <c r="J265" s="32">
        <f>0/40*E265</f>
        <v>0</v>
      </c>
    </row>
    <row r="266" spans="1:10">
      <c r="A266" s="13"/>
      <c r="B266" s="64" t="s">
        <v>166</v>
      </c>
      <c r="C266" s="64"/>
      <c r="D266" s="64"/>
      <c r="E266" s="33">
        <f>SUM(E258:E265)</f>
        <v>540</v>
      </c>
      <c r="F266" s="34">
        <f t="shared" ref="F266:J266" si="45">SUM(F258:F265)</f>
        <v>26.53</v>
      </c>
      <c r="G266" s="34">
        <f t="shared" si="45"/>
        <v>23.37</v>
      </c>
      <c r="H266" s="34">
        <f t="shared" si="45"/>
        <v>50.86</v>
      </c>
      <c r="I266" s="34">
        <f t="shared" si="45"/>
        <v>508.62</v>
      </c>
      <c r="J266" s="34">
        <f t="shared" si="45"/>
        <v>40.770000000000003</v>
      </c>
    </row>
    <row r="267" spans="1:10">
      <c r="A267" s="13"/>
      <c r="B267" s="65" t="s">
        <v>17</v>
      </c>
      <c r="C267" s="66"/>
      <c r="D267" s="67"/>
      <c r="E267" s="30"/>
      <c r="F267" s="32"/>
      <c r="G267" s="32"/>
      <c r="H267" s="32"/>
      <c r="I267" s="32"/>
      <c r="J267" s="32"/>
    </row>
    <row r="268" spans="1:10">
      <c r="A268" s="13"/>
      <c r="B268" s="59" t="s">
        <v>279</v>
      </c>
      <c r="C268" s="59"/>
      <c r="D268" s="59"/>
      <c r="E268" s="30">
        <v>60</v>
      </c>
      <c r="F268" s="32">
        <v>3.6</v>
      </c>
      <c r="G268" s="32">
        <v>2.7</v>
      </c>
      <c r="H268" s="32">
        <v>45.6</v>
      </c>
      <c r="I268" s="32">
        <v>214.3</v>
      </c>
      <c r="J268" s="32">
        <v>0</v>
      </c>
    </row>
    <row r="269" spans="1:10">
      <c r="A269" s="13"/>
      <c r="B269" s="59" t="s">
        <v>18</v>
      </c>
      <c r="C269" s="59"/>
      <c r="D269" s="59"/>
      <c r="E269" s="30">
        <v>150</v>
      </c>
      <c r="F269" s="32">
        <f>2.9/100*E269</f>
        <v>4.3499999999999996</v>
      </c>
      <c r="G269" s="32">
        <v>4.5</v>
      </c>
      <c r="H269" s="32">
        <v>6.8</v>
      </c>
      <c r="I269" s="32">
        <v>84</v>
      </c>
      <c r="J269" s="32">
        <v>0.8</v>
      </c>
    </row>
    <row r="270" spans="1:10">
      <c r="A270" s="13"/>
      <c r="B270" s="60" t="s">
        <v>166</v>
      </c>
      <c r="C270" s="60"/>
      <c r="D270" s="60"/>
      <c r="E270" s="33">
        <f>SUM(E268:E269)</f>
        <v>210</v>
      </c>
      <c r="F270" s="34">
        <f t="shared" ref="F270:J270" si="46">SUM(F268:F269)</f>
        <v>7.9499999999999993</v>
      </c>
      <c r="G270" s="34">
        <f t="shared" si="46"/>
        <v>7.2</v>
      </c>
      <c r="H270" s="34">
        <f t="shared" si="46"/>
        <v>52.4</v>
      </c>
      <c r="I270" s="34">
        <f t="shared" si="46"/>
        <v>298.3</v>
      </c>
      <c r="J270" s="34">
        <f t="shared" si="46"/>
        <v>0.8</v>
      </c>
    </row>
    <row r="271" spans="1:10">
      <c r="A271" s="13"/>
      <c r="B271" s="61" t="s">
        <v>169</v>
      </c>
      <c r="C271" s="62"/>
      <c r="D271" s="63"/>
      <c r="E271" s="35">
        <f>E255+E256+E266+E270</f>
        <v>1202</v>
      </c>
      <c r="F271" s="37">
        <f t="shared" ref="F271:J271" si="47">F255+F256+F266+F270</f>
        <v>43.370000000000005</v>
      </c>
      <c r="G271" s="37">
        <f t="shared" si="47"/>
        <v>41.820000000000007</v>
      </c>
      <c r="H271" s="37">
        <f t="shared" si="47"/>
        <v>163.01</v>
      </c>
      <c r="I271" s="37">
        <f t="shared" si="47"/>
        <v>1173.6299999999999</v>
      </c>
      <c r="J271" s="37">
        <f t="shared" si="47"/>
        <v>52.370000000000005</v>
      </c>
    </row>
    <row r="272" spans="1:10" s="2" customFormat="1">
      <c r="A272" s="24" t="s">
        <v>54</v>
      </c>
      <c r="B272" s="59"/>
      <c r="C272" s="59"/>
      <c r="D272" s="59"/>
      <c r="E272" s="30"/>
      <c r="F272" s="32"/>
      <c r="G272" s="32"/>
      <c r="H272" s="32"/>
      <c r="I272" s="32">
        <f>I271*100/1963</f>
        <v>59.787570045848184</v>
      </c>
      <c r="J272" s="32"/>
    </row>
    <row r="273" spans="1:10">
      <c r="A273" s="6"/>
      <c r="B273" s="58"/>
      <c r="C273" s="58"/>
      <c r="D273" s="58"/>
      <c r="E273" s="39"/>
      <c r="F273" s="40"/>
      <c r="G273" s="40"/>
      <c r="H273" s="40"/>
      <c r="I273" s="40"/>
      <c r="J273" s="40"/>
    </row>
    <row r="274" spans="1:10">
      <c r="A274" s="6"/>
      <c r="B274" s="58"/>
      <c r="C274" s="58"/>
      <c r="D274" s="58"/>
      <c r="E274" s="39"/>
      <c r="F274" s="40"/>
      <c r="G274" s="40"/>
      <c r="H274" s="40"/>
      <c r="I274" s="40"/>
      <c r="J274" s="40"/>
    </row>
    <row r="275" spans="1:10">
      <c r="A275" s="6"/>
      <c r="B275" s="58"/>
      <c r="C275" s="58"/>
      <c r="D275" s="58"/>
      <c r="E275" s="39"/>
      <c r="F275" s="41"/>
      <c r="G275" s="41"/>
      <c r="H275" s="41"/>
      <c r="I275" s="41"/>
      <c r="J275" s="41"/>
    </row>
    <row r="276" spans="1:10">
      <c r="A276" s="6"/>
      <c r="B276" s="58"/>
      <c r="C276" s="58"/>
      <c r="D276" s="58"/>
      <c r="E276" s="39"/>
      <c r="F276" s="41"/>
      <c r="G276" s="41"/>
      <c r="H276" s="41"/>
      <c r="I276" s="41"/>
      <c r="J276" s="41"/>
    </row>
    <row r="277" spans="1:10">
      <c r="A277" s="6"/>
      <c r="B277" s="58"/>
      <c r="C277" s="58"/>
      <c r="D277" s="58"/>
      <c r="E277" s="39"/>
      <c r="F277" s="41"/>
      <c r="G277" s="41"/>
      <c r="H277" s="41"/>
      <c r="I277" s="41"/>
      <c r="J277" s="41"/>
    </row>
    <row r="278" spans="1:10">
      <c r="A278" s="6"/>
      <c r="B278" s="58"/>
      <c r="C278" s="58"/>
      <c r="D278" s="58"/>
      <c r="E278" s="39"/>
      <c r="F278" s="41"/>
      <c r="G278" s="41"/>
      <c r="H278" s="41"/>
      <c r="I278" s="41"/>
      <c r="J278" s="41"/>
    </row>
    <row r="279" spans="1:10">
      <c r="A279" s="6"/>
      <c r="B279" s="58"/>
      <c r="C279" s="58"/>
      <c r="D279" s="58"/>
      <c r="E279" s="39"/>
      <c r="F279" s="41"/>
      <c r="G279" s="41"/>
      <c r="H279" s="41"/>
      <c r="I279" s="41"/>
      <c r="J279" s="41"/>
    </row>
    <row r="280" spans="1:10">
      <c r="A280" s="6"/>
      <c r="B280" s="58"/>
      <c r="C280" s="58"/>
      <c r="D280" s="58"/>
      <c r="E280" s="39"/>
      <c r="F280" s="41"/>
      <c r="G280" s="41"/>
      <c r="H280" s="41"/>
      <c r="I280" s="41"/>
      <c r="J280" s="41"/>
    </row>
    <row r="281" spans="1:10">
      <c r="A281" s="6"/>
      <c r="B281" s="58"/>
      <c r="C281" s="58"/>
      <c r="D281" s="58"/>
      <c r="E281" s="39"/>
      <c r="F281" s="41"/>
      <c r="G281" s="41"/>
      <c r="H281" s="41"/>
      <c r="I281" s="41"/>
      <c r="J281" s="41"/>
    </row>
    <row r="282" spans="1:10">
      <c r="A282" s="6"/>
      <c r="B282" s="58"/>
      <c r="C282" s="58"/>
      <c r="D282" s="58"/>
      <c r="E282" s="39"/>
      <c r="F282" s="41"/>
      <c r="G282" s="41"/>
      <c r="H282" s="41"/>
      <c r="I282" s="41"/>
      <c r="J282" s="41"/>
    </row>
    <row r="283" spans="1:10">
      <c r="A283" s="6"/>
      <c r="B283" s="58"/>
      <c r="C283" s="58"/>
      <c r="D283" s="58"/>
      <c r="E283" s="39"/>
      <c r="F283" s="41"/>
      <c r="G283" s="41"/>
      <c r="H283" s="41"/>
      <c r="I283" s="41"/>
      <c r="J283" s="41"/>
    </row>
    <row r="284" spans="1:10">
      <c r="A284" s="6"/>
      <c r="B284" s="58"/>
      <c r="C284" s="58"/>
      <c r="D284" s="58"/>
      <c r="E284" s="39"/>
      <c r="F284" s="41"/>
      <c r="G284" s="41"/>
      <c r="H284" s="41"/>
      <c r="I284" s="41"/>
      <c r="J284" s="41"/>
    </row>
    <row r="285" spans="1:10">
      <c r="A285" s="6"/>
      <c r="B285" s="58"/>
      <c r="C285" s="58"/>
      <c r="D285" s="58"/>
      <c r="E285" s="39"/>
      <c r="F285" s="41"/>
      <c r="G285" s="41"/>
      <c r="H285" s="41"/>
      <c r="I285" s="41"/>
      <c r="J285" s="41"/>
    </row>
    <row r="286" spans="1:10">
      <c r="A286" s="6"/>
      <c r="B286" s="58"/>
      <c r="C286" s="58"/>
      <c r="D286" s="58"/>
      <c r="E286" s="39"/>
      <c r="F286" s="41"/>
      <c r="G286" s="41"/>
      <c r="H286" s="41"/>
      <c r="I286" s="41"/>
      <c r="J286" s="41"/>
    </row>
    <row r="287" spans="1:10">
      <c r="A287" s="6"/>
      <c r="B287" s="58"/>
      <c r="C287" s="58"/>
      <c r="D287" s="58"/>
      <c r="E287" s="39"/>
      <c r="F287" s="41"/>
      <c r="G287" s="41"/>
      <c r="H287" s="41"/>
      <c r="I287" s="41"/>
      <c r="J287" s="41"/>
    </row>
    <row r="288" spans="1:10">
      <c r="A288" s="6"/>
      <c r="B288" s="58"/>
      <c r="C288" s="58"/>
      <c r="D288" s="58"/>
      <c r="E288" s="39"/>
      <c r="F288" s="41"/>
      <c r="G288" s="41"/>
      <c r="H288" s="41"/>
      <c r="I288" s="41"/>
      <c r="J288" s="41"/>
    </row>
    <row r="289" spans="1:10">
      <c r="A289" s="6"/>
      <c r="B289" s="58"/>
      <c r="C289" s="58"/>
      <c r="D289" s="58"/>
      <c r="E289" s="39"/>
      <c r="F289" s="41"/>
      <c r="G289" s="41"/>
      <c r="H289" s="41"/>
      <c r="I289" s="41"/>
      <c r="J289" s="41"/>
    </row>
    <row r="290" spans="1:10">
      <c r="A290" s="6"/>
      <c r="B290" s="58"/>
      <c r="C290" s="58"/>
      <c r="D290" s="58"/>
      <c r="E290" s="39"/>
      <c r="F290" s="41"/>
      <c r="G290" s="41"/>
      <c r="H290" s="41"/>
      <c r="I290" s="41"/>
      <c r="J290" s="41"/>
    </row>
    <row r="291" spans="1:10">
      <c r="A291" s="6"/>
      <c r="B291" s="58"/>
      <c r="C291" s="58"/>
      <c r="D291" s="58"/>
      <c r="E291" s="39"/>
      <c r="F291" s="41"/>
      <c r="G291" s="41"/>
      <c r="H291" s="41"/>
      <c r="I291" s="41"/>
      <c r="J291" s="41"/>
    </row>
    <row r="292" spans="1:10">
      <c r="A292" s="6"/>
      <c r="B292" s="58"/>
      <c r="C292" s="58"/>
      <c r="D292" s="58"/>
      <c r="E292" s="39"/>
      <c r="F292" s="41"/>
      <c r="G292" s="41"/>
      <c r="H292" s="41"/>
      <c r="I292" s="41"/>
      <c r="J292" s="41"/>
    </row>
    <row r="293" spans="1:10">
      <c r="A293" s="6"/>
      <c r="B293" s="58"/>
      <c r="C293" s="58"/>
      <c r="D293" s="58"/>
      <c r="E293" s="39"/>
      <c r="F293" s="41"/>
      <c r="G293" s="41"/>
      <c r="H293" s="41"/>
      <c r="I293" s="41"/>
      <c r="J293" s="41"/>
    </row>
    <row r="294" spans="1:10">
      <c r="A294" s="6"/>
      <c r="B294" s="58"/>
      <c r="C294" s="58"/>
      <c r="D294" s="58"/>
      <c r="E294" s="39"/>
      <c r="F294" s="41"/>
      <c r="G294" s="41"/>
      <c r="H294" s="41"/>
      <c r="I294" s="41"/>
      <c r="J294" s="41"/>
    </row>
    <row r="295" spans="1:10">
      <c r="A295" s="6"/>
      <c r="B295" s="58"/>
      <c r="C295" s="58"/>
      <c r="D295" s="58"/>
      <c r="E295" s="39"/>
      <c r="F295" s="41"/>
      <c r="G295" s="41"/>
      <c r="H295" s="41"/>
      <c r="I295" s="41"/>
      <c r="J295" s="41"/>
    </row>
    <row r="296" spans="1:10">
      <c r="A296" s="6"/>
      <c r="B296" s="58"/>
      <c r="C296" s="58"/>
      <c r="D296" s="58"/>
      <c r="E296" s="39"/>
      <c r="F296" s="41"/>
      <c r="G296" s="41"/>
      <c r="H296" s="41"/>
      <c r="I296" s="41"/>
      <c r="J296" s="41"/>
    </row>
    <row r="297" spans="1:10">
      <c r="A297" s="6"/>
      <c r="B297" s="58"/>
      <c r="C297" s="58"/>
      <c r="D297" s="58"/>
      <c r="E297" s="39"/>
      <c r="F297" s="41"/>
      <c r="G297" s="41"/>
      <c r="H297" s="41"/>
      <c r="I297" s="41"/>
      <c r="J297" s="41"/>
    </row>
    <row r="298" spans="1:10">
      <c r="A298" s="6"/>
      <c r="B298" s="58"/>
      <c r="C298" s="58"/>
      <c r="D298" s="58"/>
      <c r="E298" s="39"/>
      <c r="F298" s="41"/>
      <c r="G298" s="41"/>
      <c r="H298" s="41"/>
      <c r="I298" s="41"/>
      <c r="J298" s="41"/>
    </row>
    <row r="299" spans="1:10">
      <c r="A299" s="6"/>
      <c r="B299" s="58"/>
      <c r="C299" s="58"/>
      <c r="D299" s="58"/>
      <c r="E299" s="39"/>
      <c r="F299" s="41"/>
      <c r="G299" s="41"/>
      <c r="H299" s="41"/>
      <c r="I299" s="41"/>
      <c r="J299" s="41"/>
    </row>
    <row r="300" spans="1:10">
      <c r="A300" s="6"/>
      <c r="B300" s="58"/>
      <c r="C300" s="58"/>
      <c r="D300" s="58"/>
      <c r="E300" s="39"/>
      <c r="F300" s="41"/>
      <c r="G300" s="41"/>
      <c r="H300" s="41"/>
      <c r="I300" s="41"/>
      <c r="J300" s="41"/>
    </row>
    <row r="301" spans="1:10">
      <c r="A301" s="6"/>
      <c r="B301" s="58"/>
      <c r="C301" s="58"/>
      <c r="D301" s="58"/>
      <c r="E301" s="39"/>
      <c r="F301" s="41"/>
      <c r="G301" s="41"/>
      <c r="H301" s="41"/>
      <c r="I301" s="41"/>
      <c r="J301" s="41"/>
    </row>
    <row r="302" spans="1:10">
      <c r="A302" s="6"/>
      <c r="B302" s="58"/>
      <c r="C302" s="58"/>
      <c r="D302" s="58"/>
      <c r="E302" s="39"/>
      <c r="F302" s="41"/>
      <c r="G302" s="41"/>
      <c r="H302" s="41"/>
      <c r="I302" s="41"/>
      <c r="J302" s="41"/>
    </row>
    <row r="303" spans="1:10">
      <c r="A303" s="6"/>
      <c r="B303" s="6"/>
      <c r="C303" s="6"/>
      <c r="D303" s="6"/>
      <c r="E303" s="39"/>
      <c r="F303" s="41"/>
      <c r="G303" s="41"/>
      <c r="H303" s="41"/>
      <c r="I303" s="41"/>
      <c r="J303" s="41"/>
    </row>
    <row r="304" spans="1:10">
      <c r="A304" s="6"/>
      <c r="B304" s="6"/>
      <c r="C304" s="6"/>
      <c r="D304" s="6"/>
      <c r="E304" s="39"/>
      <c r="F304" s="41"/>
      <c r="G304" s="41"/>
      <c r="H304" s="41"/>
      <c r="I304" s="41"/>
      <c r="J304" s="41"/>
    </row>
    <row r="305" spans="1:10">
      <c r="A305" s="6"/>
      <c r="B305" s="6"/>
      <c r="C305" s="6"/>
      <c r="D305" s="6"/>
      <c r="E305" s="39"/>
      <c r="F305" s="41"/>
      <c r="G305" s="41"/>
      <c r="H305" s="41"/>
      <c r="I305" s="41"/>
      <c r="J305" s="41"/>
    </row>
  </sheetData>
  <mergeCells count="282">
    <mergeCell ref="B217:D217"/>
    <mergeCell ref="B219:D219"/>
    <mergeCell ref="B220:D220"/>
    <mergeCell ref="B203:D203"/>
    <mergeCell ref="B229:D229"/>
    <mergeCell ref="B254:D254"/>
    <mergeCell ref="B252:D252"/>
    <mergeCell ref="B242:D242"/>
    <mergeCell ref="B243:D243"/>
    <mergeCell ref="B225:D225"/>
    <mergeCell ref="B230:D230"/>
    <mergeCell ref="B232:D232"/>
    <mergeCell ref="B233:D233"/>
    <mergeCell ref="B250:D250"/>
    <mergeCell ref="B251:D251"/>
    <mergeCell ref="B253:D253"/>
    <mergeCell ref="B104:D104"/>
    <mergeCell ref="B105:D105"/>
    <mergeCell ref="B90:D90"/>
    <mergeCell ref="B101:D101"/>
    <mergeCell ref="B127:D127"/>
    <mergeCell ref="B152:D152"/>
    <mergeCell ref="B149:D149"/>
    <mergeCell ref="B150:D150"/>
    <mergeCell ref="B72:D72"/>
    <mergeCell ref="B108:D108"/>
    <mergeCell ref="B109:D109"/>
    <mergeCell ref="B110:D110"/>
    <mergeCell ref="B111:D111"/>
    <mergeCell ref="B112:D112"/>
    <mergeCell ref="B114:D114"/>
    <mergeCell ref="B115:D115"/>
    <mergeCell ref="B116:D116"/>
    <mergeCell ref="B106:D106"/>
    <mergeCell ref="B107:D107"/>
    <mergeCell ref="A146:J146"/>
    <mergeCell ref="B117:D117"/>
    <mergeCell ref="B118:D118"/>
    <mergeCell ref="B119:D119"/>
    <mergeCell ref="B120:D120"/>
    <mergeCell ref="B40:D40"/>
    <mergeCell ref="B41:D41"/>
    <mergeCell ref="B55:D55"/>
    <mergeCell ref="B27:D27"/>
    <mergeCell ref="B238:D238"/>
    <mergeCell ref="B240:D240"/>
    <mergeCell ref="B241:D241"/>
    <mergeCell ref="B62:D62"/>
    <mergeCell ref="B63:D63"/>
    <mergeCell ref="B52:D52"/>
    <mergeCell ref="B51:D51"/>
    <mergeCell ref="A223:J223"/>
    <mergeCell ref="B218:D218"/>
    <mergeCell ref="B64:D64"/>
    <mergeCell ref="B65:D65"/>
    <mergeCell ref="B56:D56"/>
    <mergeCell ref="B57:D57"/>
    <mergeCell ref="B58:D58"/>
    <mergeCell ref="B59:D59"/>
    <mergeCell ref="B60:D60"/>
    <mergeCell ref="B212:D212"/>
    <mergeCell ref="B213:D213"/>
    <mergeCell ref="B214:D214"/>
    <mergeCell ref="B215:D215"/>
    <mergeCell ref="A11:A14"/>
    <mergeCell ref="E11:E14"/>
    <mergeCell ref="F12:F14"/>
    <mergeCell ref="G12:G14"/>
    <mergeCell ref="H12:H14"/>
    <mergeCell ref="I12:I14"/>
    <mergeCell ref="B221:D221"/>
    <mergeCell ref="B68:D68"/>
    <mergeCell ref="A95:J95"/>
    <mergeCell ref="B16:D16"/>
    <mergeCell ref="B11:D14"/>
    <mergeCell ref="A15:J15"/>
    <mergeCell ref="B18:D18"/>
    <mergeCell ref="B19:D19"/>
    <mergeCell ref="B21:D21"/>
    <mergeCell ref="B22:D22"/>
    <mergeCell ref="B17:D17"/>
    <mergeCell ref="B20:D20"/>
    <mergeCell ref="B24:D24"/>
    <mergeCell ref="B26:D26"/>
    <mergeCell ref="B83:D83"/>
    <mergeCell ref="B84:D84"/>
    <mergeCell ref="B85:D85"/>
    <mergeCell ref="B86:D86"/>
    <mergeCell ref="B38:D38"/>
    <mergeCell ref="G2:I2"/>
    <mergeCell ref="G3:I3"/>
    <mergeCell ref="G4:I4"/>
    <mergeCell ref="G5:I5"/>
    <mergeCell ref="G6:I6"/>
    <mergeCell ref="F11:J11"/>
    <mergeCell ref="J12:J14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3:D23"/>
    <mergeCell ref="A42:J42"/>
    <mergeCell ref="B28:D28"/>
    <mergeCell ref="B66:D66"/>
    <mergeCell ref="A67:J67"/>
    <mergeCell ref="B94:D94"/>
    <mergeCell ref="B88:D88"/>
    <mergeCell ref="B89:D89"/>
    <mergeCell ref="B91:D91"/>
    <mergeCell ref="B92:D92"/>
    <mergeCell ref="B53:D53"/>
    <mergeCell ref="B54:D54"/>
    <mergeCell ref="B87:D87"/>
    <mergeCell ref="B78:D78"/>
    <mergeCell ref="B79:D79"/>
    <mergeCell ref="B80:D80"/>
    <mergeCell ref="B81:D81"/>
    <mergeCell ref="B82:D82"/>
    <mergeCell ref="B43:D43"/>
    <mergeCell ref="B44:D44"/>
    <mergeCell ref="B45:D45"/>
    <mergeCell ref="B46:D46"/>
    <mergeCell ref="B47:D47"/>
    <mergeCell ref="B48:D48"/>
    <mergeCell ref="B39:D39"/>
    <mergeCell ref="B49:D49"/>
    <mergeCell ref="B61:D61"/>
    <mergeCell ref="B99:D99"/>
    <mergeCell ref="B100:D100"/>
    <mergeCell ref="B97:D97"/>
    <mergeCell ref="B98:D98"/>
    <mergeCell ref="B93:D93"/>
    <mergeCell ref="B102:D102"/>
    <mergeCell ref="B73:D73"/>
    <mergeCell ref="B76:D76"/>
    <mergeCell ref="B70:D70"/>
    <mergeCell ref="B71:D71"/>
    <mergeCell ref="B96:D96"/>
    <mergeCell ref="B122:D122"/>
    <mergeCell ref="B123:D123"/>
    <mergeCell ref="B124:D124"/>
    <mergeCell ref="B133:D133"/>
    <mergeCell ref="B125:D125"/>
    <mergeCell ref="A121:J121"/>
    <mergeCell ref="B126:D126"/>
    <mergeCell ref="B128:D128"/>
    <mergeCell ref="B130:D130"/>
    <mergeCell ref="B131:D131"/>
    <mergeCell ref="B132:D132"/>
    <mergeCell ref="B156:D156"/>
    <mergeCell ref="B157:D157"/>
    <mergeCell ref="B158:D158"/>
    <mergeCell ref="B159:D159"/>
    <mergeCell ref="B160:D160"/>
    <mergeCell ref="B161:D161"/>
    <mergeCell ref="B162:D162"/>
    <mergeCell ref="B163:D163"/>
    <mergeCell ref="B134:D134"/>
    <mergeCell ref="B135:D135"/>
    <mergeCell ref="B136:D136"/>
    <mergeCell ref="B137:D137"/>
    <mergeCell ref="B147:D147"/>
    <mergeCell ref="B148:D148"/>
    <mergeCell ref="B151:D151"/>
    <mergeCell ref="B153:D153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70:D170"/>
    <mergeCell ref="B171:D171"/>
    <mergeCell ref="B173:D173"/>
    <mergeCell ref="B174:D174"/>
    <mergeCell ref="B175:D175"/>
    <mergeCell ref="B176:D176"/>
    <mergeCell ref="B177:D177"/>
    <mergeCell ref="B179:D179"/>
    <mergeCell ref="B164:D164"/>
    <mergeCell ref="B165:D165"/>
    <mergeCell ref="B166:D166"/>
    <mergeCell ref="B167:D167"/>
    <mergeCell ref="B168:D168"/>
    <mergeCell ref="B169:D169"/>
    <mergeCell ref="A172:J172"/>
    <mergeCell ref="B178:D178"/>
    <mergeCell ref="B199:D199"/>
    <mergeCell ref="B181:D181"/>
    <mergeCell ref="B182:D182"/>
    <mergeCell ref="B183:D183"/>
    <mergeCell ref="B184:D184"/>
    <mergeCell ref="B185:D185"/>
    <mergeCell ref="B186:D186"/>
    <mergeCell ref="B187:D187"/>
    <mergeCell ref="A197:J197"/>
    <mergeCell ref="B196:D196"/>
    <mergeCell ref="B189:D189"/>
    <mergeCell ref="B191:D191"/>
    <mergeCell ref="B192:D192"/>
    <mergeCell ref="B193:D193"/>
    <mergeCell ref="B194:D194"/>
    <mergeCell ref="B188:D188"/>
    <mergeCell ref="B195:D195"/>
    <mergeCell ref="B198:D198"/>
    <mergeCell ref="B255:D255"/>
    <mergeCell ref="B200:D200"/>
    <mergeCell ref="B201:D201"/>
    <mergeCell ref="B202:D202"/>
    <mergeCell ref="B204:D204"/>
    <mergeCell ref="B211:D211"/>
    <mergeCell ref="B206:D206"/>
    <mergeCell ref="B208:D208"/>
    <mergeCell ref="B209:D209"/>
    <mergeCell ref="B210:D210"/>
    <mergeCell ref="B244:D244"/>
    <mergeCell ref="A248:J248"/>
    <mergeCell ref="B246:D246"/>
    <mergeCell ref="B245:D245"/>
    <mergeCell ref="B249:D249"/>
    <mergeCell ref="B226:D226"/>
    <mergeCell ref="B227:D227"/>
    <mergeCell ref="B228:D228"/>
    <mergeCell ref="B239:D239"/>
    <mergeCell ref="B224:D224"/>
    <mergeCell ref="B216:D216"/>
    <mergeCell ref="B234:D234"/>
    <mergeCell ref="B235:D235"/>
    <mergeCell ref="B236:D236"/>
    <mergeCell ref="B262:D262"/>
    <mergeCell ref="B263:D263"/>
    <mergeCell ref="B264:D264"/>
    <mergeCell ref="B265:D265"/>
    <mergeCell ref="B266:D266"/>
    <mergeCell ref="B267:D267"/>
    <mergeCell ref="B268:D268"/>
    <mergeCell ref="B257:D257"/>
    <mergeCell ref="B258:D258"/>
    <mergeCell ref="B259:D259"/>
    <mergeCell ref="B260:D260"/>
    <mergeCell ref="B261:D261"/>
    <mergeCell ref="B283:D283"/>
    <mergeCell ref="B284:D284"/>
    <mergeCell ref="B285:D285"/>
    <mergeCell ref="B269:D269"/>
    <mergeCell ref="B270:D270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80:D280"/>
    <mergeCell ref="B281:D281"/>
    <mergeCell ref="B282:D282"/>
    <mergeCell ref="B295:D295"/>
    <mergeCell ref="B296:D296"/>
    <mergeCell ref="B297:D297"/>
    <mergeCell ref="B298:D298"/>
    <mergeCell ref="B299:D299"/>
    <mergeCell ref="B300:D300"/>
    <mergeCell ref="B301:D301"/>
    <mergeCell ref="B302:D302"/>
    <mergeCell ref="B286:D286"/>
    <mergeCell ref="B287:D287"/>
    <mergeCell ref="B288:D288"/>
    <mergeCell ref="B289:D289"/>
    <mergeCell ref="B290:D290"/>
    <mergeCell ref="B291:D291"/>
    <mergeCell ref="B292:D292"/>
    <mergeCell ref="B293:D293"/>
    <mergeCell ref="B294:D294"/>
  </mergeCells>
  <pageMargins left="0.59055118110236227" right="0.39370078740157483" top="0.39370078740157483" bottom="0.39370078740157483" header="0.11811023622047245" footer="0.11811023622047245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T304"/>
  <sheetViews>
    <sheetView topLeftCell="A7" workbookViewId="0">
      <selection activeCell="B10" sqref="B10:H10"/>
    </sheetView>
  </sheetViews>
  <sheetFormatPr defaultRowHeight="15"/>
  <cols>
    <col min="1" max="3" width="9.140625" style="2"/>
    <col min="4" max="4" width="14" style="2" customWidth="1"/>
    <col min="5" max="5" width="7.7109375" style="28" customWidth="1"/>
    <col min="6" max="6" width="6.42578125" style="49" customWidth="1"/>
    <col min="7" max="7" width="6.5703125" style="49" customWidth="1"/>
    <col min="8" max="8" width="8.42578125" style="49" customWidth="1"/>
    <col min="9" max="9" width="8.7109375" style="49" customWidth="1"/>
    <col min="10" max="10" width="7.85546875" style="49" customWidth="1"/>
    <col min="11" max="16384" width="9.140625" style="2"/>
  </cols>
  <sheetData>
    <row r="2" spans="1:10" ht="18.75">
      <c r="G2" s="81" t="s">
        <v>0</v>
      </c>
      <c r="H2" s="81"/>
      <c r="I2" s="81"/>
    </row>
    <row r="3" spans="1:10">
      <c r="G3" s="82" t="s">
        <v>136</v>
      </c>
      <c r="H3" s="82"/>
      <c r="I3" s="82"/>
    </row>
    <row r="4" spans="1:10">
      <c r="G4" s="82" t="s">
        <v>137</v>
      </c>
      <c r="H4" s="82"/>
      <c r="I4" s="82"/>
    </row>
    <row r="5" spans="1:10">
      <c r="G5" s="82" t="s">
        <v>138</v>
      </c>
      <c r="H5" s="82"/>
      <c r="I5" s="82"/>
    </row>
    <row r="6" spans="1:10">
      <c r="G6" s="83" t="s">
        <v>139</v>
      </c>
      <c r="H6" s="83"/>
      <c r="I6" s="83"/>
    </row>
    <row r="8" spans="1:10" ht="15.75">
      <c r="B8" s="20"/>
      <c r="C8" s="103" t="s">
        <v>1</v>
      </c>
      <c r="D8" s="103"/>
      <c r="E8" s="103"/>
      <c r="F8" s="103"/>
      <c r="G8" s="28"/>
      <c r="H8" s="28"/>
    </row>
    <row r="9" spans="1:10" ht="15.75">
      <c r="B9" s="20"/>
      <c r="C9" s="103" t="s">
        <v>199</v>
      </c>
      <c r="D9" s="103"/>
      <c r="E9" s="103"/>
      <c r="F9" s="103"/>
      <c r="G9" s="28"/>
      <c r="H9" s="28"/>
    </row>
    <row r="10" spans="1:10" ht="15.75">
      <c r="B10" s="103" t="s">
        <v>2</v>
      </c>
      <c r="C10" s="103"/>
      <c r="D10" s="103"/>
      <c r="E10" s="103"/>
      <c r="F10" s="103"/>
      <c r="G10" s="103"/>
      <c r="H10" s="103"/>
    </row>
    <row r="11" spans="1:10">
      <c r="A11" s="88" t="s">
        <v>3</v>
      </c>
      <c r="B11" s="88" t="s">
        <v>4</v>
      </c>
      <c r="C11" s="88"/>
      <c r="D11" s="88"/>
      <c r="E11" s="84" t="s">
        <v>5</v>
      </c>
      <c r="F11" s="84" t="s">
        <v>6</v>
      </c>
      <c r="G11" s="84"/>
      <c r="H11" s="84"/>
      <c r="I11" s="84"/>
      <c r="J11" s="84"/>
    </row>
    <row r="12" spans="1:10">
      <c r="A12" s="88"/>
      <c r="B12" s="88"/>
      <c r="C12" s="88"/>
      <c r="D12" s="88"/>
      <c r="E12" s="84"/>
      <c r="F12" s="89" t="s">
        <v>180</v>
      </c>
      <c r="G12" s="89" t="s">
        <v>181</v>
      </c>
      <c r="H12" s="89" t="s">
        <v>182</v>
      </c>
      <c r="I12" s="90" t="s">
        <v>183</v>
      </c>
      <c r="J12" s="85" t="s">
        <v>10</v>
      </c>
    </row>
    <row r="13" spans="1:10">
      <c r="A13" s="88"/>
      <c r="B13" s="88"/>
      <c r="C13" s="88"/>
      <c r="D13" s="88"/>
      <c r="E13" s="84"/>
      <c r="F13" s="89"/>
      <c r="G13" s="89"/>
      <c r="H13" s="89"/>
      <c r="I13" s="91"/>
      <c r="J13" s="86"/>
    </row>
    <row r="14" spans="1:10">
      <c r="A14" s="88"/>
      <c r="B14" s="88"/>
      <c r="C14" s="88"/>
      <c r="D14" s="88"/>
      <c r="E14" s="84"/>
      <c r="F14" s="89"/>
      <c r="G14" s="89"/>
      <c r="H14" s="89"/>
      <c r="I14" s="92"/>
      <c r="J14" s="87"/>
    </row>
    <row r="15" spans="1:10">
      <c r="A15" s="99" t="s">
        <v>7</v>
      </c>
      <c r="B15" s="99"/>
      <c r="C15" s="99"/>
      <c r="D15" s="99"/>
      <c r="E15" s="99"/>
      <c r="F15" s="99"/>
      <c r="G15" s="99"/>
      <c r="H15" s="99"/>
      <c r="I15" s="99"/>
      <c r="J15" s="99"/>
    </row>
    <row r="16" spans="1:10">
      <c r="A16" s="3"/>
      <c r="B16" s="96" t="s">
        <v>8</v>
      </c>
      <c r="C16" s="97"/>
      <c r="D16" s="98"/>
      <c r="E16" s="30"/>
      <c r="F16" s="31"/>
      <c r="G16" s="31"/>
      <c r="H16" s="31"/>
      <c r="I16" s="31"/>
      <c r="J16" s="31"/>
    </row>
    <row r="17" spans="1:13">
      <c r="A17" s="21" t="s">
        <v>46</v>
      </c>
      <c r="B17" s="59" t="s">
        <v>56</v>
      </c>
      <c r="C17" s="59"/>
      <c r="D17" s="59"/>
      <c r="E17" s="30">
        <v>150</v>
      </c>
      <c r="F17" s="32">
        <f>3.2/100*E17</f>
        <v>4.8</v>
      </c>
      <c r="G17" s="32">
        <f>3.7/100*E17</f>
        <v>5.5500000000000007</v>
      </c>
      <c r="H17" s="32">
        <f>14.6/100*E17</f>
        <v>21.9</v>
      </c>
      <c r="I17" s="32">
        <f>201/200*E17</f>
        <v>150.74999999999997</v>
      </c>
      <c r="J17" s="32">
        <f>0.2/100*I17</f>
        <v>0.30149999999999993</v>
      </c>
    </row>
    <row r="18" spans="1:13">
      <c r="A18" s="21"/>
      <c r="B18" s="59" t="s">
        <v>21</v>
      </c>
      <c r="C18" s="59"/>
      <c r="D18" s="59"/>
      <c r="E18" s="30"/>
      <c r="F18" s="32"/>
      <c r="G18" s="32"/>
      <c r="H18" s="32"/>
      <c r="I18" s="32"/>
      <c r="J18" s="32"/>
    </row>
    <row r="19" spans="1:13">
      <c r="A19" s="21" t="s">
        <v>47</v>
      </c>
      <c r="B19" s="69" t="s">
        <v>178</v>
      </c>
      <c r="C19" s="70"/>
      <c r="D19" s="71"/>
      <c r="E19" s="30">
        <v>150</v>
      </c>
      <c r="F19" s="32">
        <f>0/100*E19</f>
        <v>0</v>
      </c>
      <c r="G19" s="32">
        <f>0/100*E19</f>
        <v>0</v>
      </c>
      <c r="H19" s="32">
        <f>4.6/100*E19</f>
        <v>6.8999999999999995</v>
      </c>
      <c r="I19" s="32">
        <f>18/100*E19</f>
        <v>27</v>
      </c>
      <c r="J19" s="32">
        <f>0.4/100*E19</f>
        <v>0.6</v>
      </c>
    </row>
    <row r="20" spans="1:13">
      <c r="A20" s="21"/>
      <c r="B20" s="69" t="s">
        <v>179</v>
      </c>
      <c r="C20" s="70"/>
      <c r="D20" s="71"/>
      <c r="E20" s="30">
        <v>5</v>
      </c>
      <c r="F20" s="32"/>
      <c r="G20" s="32"/>
      <c r="H20" s="32"/>
      <c r="I20" s="32"/>
      <c r="J20" s="32"/>
    </row>
    <row r="21" spans="1:13">
      <c r="A21" s="21" t="s">
        <v>57</v>
      </c>
      <c r="B21" s="59" t="s">
        <v>53</v>
      </c>
      <c r="C21" s="59"/>
      <c r="D21" s="59"/>
      <c r="E21" s="30">
        <v>7</v>
      </c>
      <c r="F21" s="32">
        <f>2.63/10*E21</f>
        <v>1.8410000000000002</v>
      </c>
      <c r="G21" s="32">
        <f>2.66/10*E21</f>
        <v>1.8620000000000001</v>
      </c>
      <c r="H21" s="32">
        <f>0/10*E21</f>
        <v>0</v>
      </c>
      <c r="I21" s="32">
        <f>105/30*E21</f>
        <v>24.5</v>
      </c>
      <c r="J21" s="32">
        <f>0.07/10*E21</f>
        <v>4.9000000000000009E-2</v>
      </c>
    </row>
    <row r="22" spans="1:13">
      <c r="A22" s="21" t="s">
        <v>11</v>
      </c>
      <c r="B22" s="59" t="s">
        <v>177</v>
      </c>
      <c r="C22" s="59"/>
      <c r="D22" s="59"/>
      <c r="E22" s="30">
        <v>35</v>
      </c>
      <c r="F22" s="32">
        <f>1.94/30*E22</f>
        <v>2.2633333333333332</v>
      </c>
      <c r="G22" s="32">
        <f>3.85/30*E22</f>
        <v>4.4916666666666663</v>
      </c>
      <c r="H22" s="32">
        <f>11.74/30*E22</f>
        <v>13.696666666666667</v>
      </c>
      <c r="I22" s="32">
        <f>90.44/30*E22</f>
        <v>105.51333333333332</v>
      </c>
      <c r="J22" s="32">
        <f>0/30*E22</f>
        <v>0</v>
      </c>
    </row>
    <row r="23" spans="1:13">
      <c r="A23" s="21"/>
      <c r="B23" s="69" t="s">
        <v>39</v>
      </c>
      <c r="C23" s="70"/>
      <c r="D23" s="71"/>
      <c r="E23" s="30">
        <v>5</v>
      </c>
      <c r="F23" s="32"/>
      <c r="G23" s="32"/>
      <c r="H23" s="32"/>
      <c r="I23" s="32"/>
      <c r="J23" s="32"/>
    </row>
    <row r="24" spans="1:13">
      <c r="A24" s="21"/>
      <c r="B24" s="64" t="s">
        <v>166</v>
      </c>
      <c r="C24" s="64"/>
      <c r="D24" s="64"/>
      <c r="E24" s="33">
        <f>SUM(E17+200+5+E21+35+5)</f>
        <v>402</v>
      </c>
      <c r="F24" s="34">
        <f>SUM(F17:F22)</f>
        <v>8.9043333333333337</v>
      </c>
      <c r="G24" s="34">
        <f t="shared" ref="G24:J24" si="0">SUM(G17:G22)</f>
        <v>11.903666666666666</v>
      </c>
      <c r="H24" s="34">
        <f t="shared" si="0"/>
        <v>42.496666666666663</v>
      </c>
      <c r="I24" s="34">
        <f t="shared" si="0"/>
        <v>307.76333333333332</v>
      </c>
      <c r="J24" s="34">
        <f t="shared" si="0"/>
        <v>0.95050000000000001</v>
      </c>
    </row>
    <row r="25" spans="1:13">
      <c r="A25" s="21" t="s">
        <v>13</v>
      </c>
      <c r="B25" s="22" t="s">
        <v>167</v>
      </c>
      <c r="C25" s="23"/>
      <c r="D25" s="23"/>
      <c r="E25" s="30">
        <v>100</v>
      </c>
      <c r="F25" s="32">
        <v>0.4</v>
      </c>
      <c r="G25" s="32">
        <v>0.4</v>
      </c>
      <c r="H25" s="32">
        <v>9.8000000000000007</v>
      </c>
      <c r="I25" s="32">
        <v>42.7</v>
      </c>
      <c r="J25" s="32">
        <v>10</v>
      </c>
    </row>
    <row r="26" spans="1:13">
      <c r="A26" s="21"/>
      <c r="B26" s="73" t="s">
        <v>12</v>
      </c>
      <c r="C26" s="74"/>
      <c r="D26" s="75"/>
      <c r="E26" s="30"/>
      <c r="F26" s="32"/>
      <c r="G26" s="32"/>
      <c r="H26" s="32"/>
      <c r="I26" s="32"/>
      <c r="J26" s="32"/>
    </row>
    <row r="27" spans="1:13">
      <c r="A27" s="21" t="s">
        <v>58</v>
      </c>
      <c r="B27" s="59" t="s">
        <v>184</v>
      </c>
      <c r="C27" s="59"/>
      <c r="D27" s="59"/>
      <c r="E27" s="30">
        <v>40</v>
      </c>
      <c r="F27" s="32">
        <f>1.1/100*E27</f>
        <v>0.44000000000000006</v>
      </c>
      <c r="G27" s="32">
        <f>6.7/100*E27</f>
        <v>2.68</v>
      </c>
      <c r="H27" s="32">
        <f>12.2/100*E27</f>
        <v>4.88</v>
      </c>
      <c r="I27" s="32">
        <f>104/100*E27</f>
        <v>41.6</v>
      </c>
      <c r="J27" s="32">
        <f>3/100*E27</f>
        <v>1.2</v>
      </c>
      <c r="M27" s="5"/>
    </row>
    <row r="28" spans="1:13">
      <c r="A28" s="21"/>
      <c r="B28" s="59" t="s">
        <v>185</v>
      </c>
      <c r="C28" s="59"/>
      <c r="D28" s="59"/>
      <c r="E28" s="30"/>
      <c r="F28" s="32"/>
      <c r="G28" s="32"/>
      <c r="H28" s="32"/>
      <c r="I28" s="32"/>
      <c r="J28" s="32"/>
    </row>
    <row r="29" spans="1:13">
      <c r="A29" s="21" t="s">
        <v>60</v>
      </c>
      <c r="B29" s="59" t="s">
        <v>59</v>
      </c>
      <c r="C29" s="59"/>
      <c r="D29" s="59"/>
      <c r="E29" s="30">
        <v>150</v>
      </c>
      <c r="F29" s="32">
        <f>1.3/100*E29</f>
        <v>1.9500000000000002</v>
      </c>
      <c r="G29" s="32">
        <f>1.8/100*E29</f>
        <v>2.7</v>
      </c>
      <c r="H29" s="32">
        <f>5.6/100*E29</f>
        <v>8.3999999999999986</v>
      </c>
      <c r="I29" s="32">
        <f>40/100*E29</f>
        <v>60</v>
      </c>
      <c r="J29" s="32">
        <f>0/10*15</f>
        <v>0</v>
      </c>
    </row>
    <row r="30" spans="1:13">
      <c r="A30" s="21"/>
      <c r="B30" s="59" t="s">
        <v>168</v>
      </c>
      <c r="C30" s="59"/>
      <c r="D30" s="59"/>
      <c r="E30" s="30">
        <v>7</v>
      </c>
      <c r="F30" s="32">
        <f>0.9/10*E30</f>
        <v>0.63</v>
      </c>
      <c r="G30" s="32">
        <f>0.1/10*E30</f>
        <v>7.0000000000000007E-2</v>
      </c>
      <c r="H30" s="32">
        <f>5.7/10*E30</f>
        <v>3.99</v>
      </c>
      <c r="I30" s="32">
        <f>26/10*E30</f>
        <v>18.2</v>
      </c>
      <c r="J30" s="32">
        <f>0.9/100*E30</f>
        <v>6.3E-2</v>
      </c>
    </row>
    <row r="31" spans="1:13">
      <c r="A31" s="21" t="s">
        <v>62</v>
      </c>
      <c r="B31" s="59" t="s">
        <v>61</v>
      </c>
      <c r="C31" s="59"/>
      <c r="D31" s="59"/>
      <c r="E31" s="30">
        <v>100</v>
      </c>
      <c r="F31" s="32">
        <f>2.2/100*E31</f>
        <v>2.2000000000000002</v>
      </c>
      <c r="G31" s="32">
        <f>2.6/100*E31</f>
        <v>2.6</v>
      </c>
      <c r="H31" s="32">
        <f>13.5/100*E31</f>
        <v>13.5</v>
      </c>
      <c r="I31" s="32">
        <f>84/100*E31</f>
        <v>84</v>
      </c>
      <c r="J31" s="32">
        <f>5.9/100*E31</f>
        <v>5.9</v>
      </c>
    </row>
    <row r="32" spans="1:13">
      <c r="A32" s="21" t="s">
        <v>152</v>
      </c>
      <c r="B32" s="59" t="s">
        <v>186</v>
      </c>
      <c r="C32" s="59"/>
      <c r="D32" s="59"/>
      <c r="E32" s="30">
        <v>60</v>
      </c>
      <c r="F32" s="32">
        <f>14.2/100*E32</f>
        <v>8.52</v>
      </c>
      <c r="G32" s="32">
        <f>7.3/100*E32</f>
        <v>4.38</v>
      </c>
      <c r="H32" s="32">
        <f>5.2/100*E32</f>
        <v>3.12</v>
      </c>
      <c r="I32" s="32">
        <f>142/100*E32</f>
        <v>85.199999999999989</v>
      </c>
      <c r="J32" s="32">
        <f>0.8/100*E32</f>
        <v>0.48</v>
      </c>
    </row>
    <row r="33" spans="1:20">
      <c r="A33" s="21" t="s">
        <v>30</v>
      </c>
      <c r="B33" s="59" t="s">
        <v>29</v>
      </c>
      <c r="C33" s="59"/>
      <c r="D33" s="59"/>
      <c r="E33" s="30">
        <v>150</v>
      </c>
      <c r="F33" s="32">
        <f>8.7/100*E33</f>
        <v>13.049999999999999</v>
      </c>
      <c r="G33" s="32">
        <f>12.9/100*E33</f>
        <v>19.350000000000001</v>
      </c>
      <c r="H33" s="32">
        <f>49.2/100*E33</f>
        <v>73.800000000000011</v>
      </c>
      <c r="I33" s="32">
        <f>342/100*E33</f>
        <v>513</v>
      </c>
      <c r="J33" s="32">
        <f>0.2/100*E33</f>
        <v>0.3</v>
      </c>
    </row>
    <row r="34" spans="1:20">
      <c r="A34" s="21"/>
      <c r="B34" s="59" t="s">
        <v>16</v>
      </c>
      <c r="C34" s="59"/>
      <c r="D34" s="59"/>
      <c r="E34" s="30">
        <v>30</v>
      </c>
      <c r="F34" s="32">
        <f>2.64/40*E34</f>
        <v>1.98</v>
      </c>
      <c r="G34" s="32">
        <f>0/40*E34</f>
        <v>0</v>
      </c>
      <c r="H34" s="32">
        <f>0.48/40*E34</f>
        <v>0.36</v>
      </c>
      <c r="I34" s="32">
        <f>13.36/40*E34</f>
        <v>10.02</v>
      </c>
      <c r="J34" s="32">
        <f>0/40*E34</f>
        <v>0</v>
      </c>
    </row>
    <row r="35" spans="1:20">
      <c r="A35" s="21"/>
      <c r="B35" s="64" t="s">
        <v>166</v>
      </c>
      <c r="C35" s="64"/>
      <c r="D35" s="64"/>
      <c r="E35" s="33">
        <f>SUM(E27+E29+7+E31+E33+E34)</f>
        <v>477</v>
      </c>
      <c r="F35" s="34">
        <f>SUM(F27:F34)</f>
        <v>28.77</v>
      </c>
      <c r="G35" s="34">
        <f t="shared" ref="G35:J35" si="1">SUM(G27:G34)</f>
        <v>31.78</v>
      </c>
      <c r="H35" s="34">
        <f t="shared" si="1"/>
        <v>108.05</v>
      </c>
      <c r="I35" s="34">
        <f t="shared" si="1"/>
        <v>812.02</v>
      </c>
      <c r="J35" s="34">
        <f t="shared" si="1"/>
        <v>7.9430000000000005</v>
      </c>
    </row>
    <row r="36" spans="1:20">
      <c r="A36" s="21"/>
      <c r="B36" s="73" t="s">
        <v>17</v>
      </c>
      <c r="C36" s="74"/>
      <c r="D36" s="75"/>
      <c r="E36" s="30"/>
      <c r="F36" s="32"/>
      <c r="G36" s="32"/>
      <c r="H36" s="32"/>
      <c r="I36" s="32"/>
      <c r="J36" s="32"/>
    </row>
    <row r="37" spans="1:20">
      <c r="A37" s="21" t="s">
        <v>49</v>
      </c>
      <c r="B37" s="59" t="s">
        <v>48</v>
      </c>
      <c r="C37" s="59"/>
      <c r="D37" s="59"/>
      <c r="E37" s="30">
        <v>60</v>
      </c>
      <c r="F37" s="32">
        <f>8.7/100*E37</f>
        <v>5.22</v>
      </c>
      <c r="G37" s="32">
        <f>12.9/100*E37</f>
        <v>7.74</v>
      </c>
      <c r="H37" s="32">
        <f>49.2/100*E37</f>
        <v>29.520000000000003</v>
      </c>
      <c r="I37" s="32">
        <f>342/100*E37</f>
        <v>205.2</v>
      </c>
      <c r="J37" s="32">
        <f>0.2/100*E37</f>
        <v>0.12</v>
      </c>
    </row>
    <row r="38" spans="1:20">
      <c r="A38" s="21"/>
      <c r="B38" s="59" t="s">
        <v>18</v>
      </c>
      <c r="C38" s="59"/>
      <c r="D38" s="59"/>
      <c r="E38" s="30">
        <v>150</v>
      </c>
      <c r="F38" s="32">
        <f>2.9/100*E38</f>
        <v>4.3499999999999996</v>
      </c>
      <c r="G38" s="32">
        <f>3/100*E38</f>
        <v>4.5</v>
      </c>
      <c r="H38" s="32">
        <f>4.5/100*E38</f>
        <v>6.75</v>
      </c>
      <c r="I38" s="32">
        <f>56/100*E38</f>
        <v>84.000000000000014</v>
      </c>
      <c r="J38" s="32">
        <f>0.5/100*E38</f>
        <v>0.75</v>
      </c>
    </row>
    <row r="39" spans="1:20">
      <c r="A39" s="21"/>
      <c r="B39" s="64" t="s">
        <v>166</v>
      </c>
      <c r="C39" s="64"/>
      <c r="D39" s="64"/>
      <c r="E39" s="33">
        <f>SUM(E37:E38)</f>
        <v>210</v>
      </c>
      <c r="F39" s="34">
        <f t="shared" ref="F39:J39" si="2">SUM(F37:F38)</f>
        <v>9.57</v>
      </c>
      <c r="G39" s="34">
        <f t="shared" si="2"/>
        <v>12.24</v>
      </c>
      <c r="H39" s="34">
        <f t="shared" si="2"/>
        <v>36.270000000000003</v>
      </c>
      <c r="I39" s="34">
        <f t="shared" si="2"/>
        <v>289.2</v>
      </c>
      <c r="J39" s="34">
        <f t="shared" si="2"/>
        <v>0.87</v>
      </c>
    </row>
    <row r="40" spans="1:20">
      <c r="A40" s="21"/>
      <c r="B40" s="77" t="s">
        <v>169</v>
      </c>
      <c r="C40" s="77"/>
      <c r="D40" s="77"/>
      <c r="E40" s="35">
        <f>E24+E25+E35+E39</f>
        <v>1189</v>
      </c>
      <c r="F40" s="36">
        <f t="shared" ref="F40:J40" si="3">F24+F25+F35+F39</f>
        <v>47.644333333333336</v>
      </c>
      <c r="G40" s="36">
        <f t="shared" si="3"/>
        <v>56.323666666666668</v>
      </c>
      <c r="H40" s="37">
        <f t="shared" si="3"/>
        <v>196.61666666666667</v>
      </c>
      <c r="I40" s="36">
        <f t="shared" si="3"/>
        <v>1451.6833333333334</v>
      </c>
      <c r="J40" s="36">
        <f t="shared" si="3"/>
        <v>19.763500000000001</v>
      </c>
    </row>
    <row r="41" spans="1:20">
      <c r="A41" s="21" t="s">
        <v>54</v>
      </c>
      <c r="B41" s="59"/>
      <c r="C41" s="59"/>
      <c r="D41" s="59"/>
      <c r="E41" s="30"/>
      <c r="F41" s="32"/>
      <c r="G41" s="32"/>
      <c r="H41" s="32"/>
      <c r="I41" s="32">
        <f>I40*100/1963</f>
        <v>73.952283919171336</v>
      </c>
      <c r="J41" s="32"/>
      <c r="M41" s="44"/>
    </row>
    <row r="42" spans="1:20">
      <c r="A42" s="68" t="s">
        <v>20</v>
      </c>
      <c r="B42" s="68"/>
      <c r="C42" s="68"/>
      <c r="D42" s="68"/>
      <c r="E42" s="68"/>
      <c r="F42" s="68"/>
      <c r="G42" s="68"/>
      <c r="H42" s="68"/>
      <c r="I42" s="68"/>
      <c r="J42" s="68"/>
    </row>
    <row r="43" spans="1:20">
      <c r="A43" s="21"/>
      <c r="B43" s="73" t="s">
        <v>8</v>
      </c>
      <c r="C43" s="74"/>
      <c r="D43" s="75"/>
      <c r="E43" s="30"/>
      <c r="F43" s="32"/>
      <c r="G43" s="32"/>
      <c r="H43" s="32"/>
      <c r="I43" s="32"/>
      <c r="J43" s="38"/>
      <c r="K43" s="7"/>
      <c r="L43" s="58"/>
      <c r="M43" s="58"/>
      <c r="N43" s="58"/>
      <c r="O43" s="8"/>
      <c r="P43" s="9"/>
      <c r="Q43" s="9"/>
      <c r="R43" s="9"/>
      <c r="S43" s="9"/>
      <c r="T43" s="9"/>
    </row>
    <row r="44" spans="1:20">
      <c r="A44" s="21" t="s">
        <v>51</v>
      </c>
      <c r="B44" s="78" t="s">
        <v>64</v>
      </c>
      <c r="C44" s="79"/>
      <c r="D44" s="80"/>
      <c r="E44" s="30">
        <v>150</v>
      </c>
      <c r="F44" s="32">
        <f>3.6/100*E44</f>
        <v>5.4</v>
      </c>
      <c r="G44" s="32">
        <f>3.3/100*E44</f>
        <v>4.95</v>
      </c>
      <c r="H44" s="32">
        <f>16.8/100*E44</f>
        <v>25.200000000000003</v>
      </c>
      <c r="I44" s="32">
        <f>103/100*E44</f>
        <v>154.5</v>
      </c>
      <c r="J44" s="32">
        <f>0.2/100*E44</f>
        <v>0.3</v>
      </c>
      <c r="K44" s="10"/>
      <c r="L44" s="5"/>
      <c r="M44" s="5"/>
      <c r="N44" s="5"/>
      <c r="O44" s="5"/>
      <c r="P44" s="5"/>
    </row>
    <row r="45" spans="1:20">
      <c r="A45" s="21" t="s">
        <v>57</v>
      </c>
      <c r="B45" s="59" t="s">
        <v>53</v>
      </c>
      <c r="C45" s="59"/>
      <c r="D45" s="59"/>
      <c r="E45" s="30">
        <v>7</v>
      </c>
      <c r="F45" s="32">
        <f>2.63/10*E45</f>
        <v>1.8410000000000002</v>
      </c>
      <c r="G45" s="32">
        <f>2.66/10*E45</f>
        <v>1.8620000000000001</v>
      </c>
      <c r="H45" s="32">
        <f>0/10*E45</f>
        <v>0</v>
      </c>
      <c r="I45" s="32">
        <f>105/30*E45</f>
        <v>24.5</v>
      </c>
      <c r="J45" s="32">
        <f>0.07/10*E45</f>
        <v>4.9000000000000009E-2</v>
      </c>
      <c r="N45" s="44"/>
    </row>
    <row r="46" spans="1:20">
      <c r="A46" s="21" t="s">
        <v>9</v>
      </c>
      <c r="B46" s="59" t="s">
        <v>63</v>
      </c>
      <c r="C46" s="59"/>
      <c r="D46" s="59"/>
      <c r="E46" s="30">
        <v>150</v>
      </c>
      <c r="F46" s="32">
        <f>1.5/100*E46</f>
        <v>2.25</v>
      </c>
      <c r="G46" s="32">
        <f>1.4/100*E46</f>
        <v>2.0999999999999996</v>
      </c>
      <c r="H46" s="32">
        <f>6.7/100*E46</f>
        <v>10.050000000000001</v>
      </c>
      <c r="I46" s="32">
        <f t="shared" ref="I46" si="4">56/100*E46</f>
        <v>84.000000000000014</v>
      </c>
      <c r="J46" s="32">
        <f t="shared" ref="J46" si="5">0.5/100*E46</f>
        <v>0.75</v>
      </c>
    </row>
    <row r="47" spans="1:20">
      <c r="A47" s="21" t="s">
        <v>11</v>
      </c>
      <c r="B47" s="59" t="s">
        <v>177</v>
      </c>
      <c r="C47" s="59"/>
      <c r="D47" s="59"/>
      <c r="E47" s="30">
        <v>35</v>
      </c>
      <c r="F47" s="32">
        <f>1.94/30*E47</f>
        <v>2.2633333333333332</v>
      </c>
      <c r="G47" s="32">
        <f>3.85/30*E47</f>
        <v>4.4916666666666663</v>
      </c>
      <c r="H47" s="32">
        <f>11.74/30*E47</f>
        <v>13.696666666666667</v>
      </c>
      <c r="I47" s="32">
        <f>90.44/30*E47</f>
        <v>105.51333333333332</v>
      </c>
      <c r="J47" s="32">
        <f>0/30*E47</f>
        <v>0</v>
      </c>
    </row>
    <row r="48" spans="1:20">
      <c r="A48" s="21"/>
      <c r="B48" s="69" t="s">
        <v>39</v>
      </c>
      <c r="C48" s="70"/>
      <c r="D48" s="71"/>
      <c r="E48" s="30">
        <v>5</v>
      </c>
      <c r="F48" s="32"/>
      <c r="G48" s="32"/>
      <c r="H48" s="32"/>
      <c r="I48" s="32"/>
      <c r="J48" s="32"/>
    </row>
    <row r="49" spans="1:12">
      <c r="A49" s="21"/>
      <c r="B49" s="64" t="s">
        <v>166</v>
      </c>
      <c r="C49" s="64"/>
      <c r="D49" s="64"/>
      <c r="E49" s="33">
        <f>E44+E45+E46+E47+E48</f>
        <v>347</v>
      </c>
      <c r="F49" s="34">
        <f>SUM(F44:F47)</f>
        <v>11.754333333333333</v>
      </c>
      <c r="G49" s="34">
        <f>SUM(G44:G47)</f>
        <v>13.403666666666666</v>
      </c>
      <c r="H49" s="34">
        <f>SUM(H44:H47)</f>
        <v>48.946666666666665</v>
      </c>
      <c r="I49" s="34">
        <f>SUM(I44:I47)</f>
        <v>368.51333333333332</v>
      </c>
      <c r="J49" s="34">
        <f>SUM(J44:J47)</f>
        <v>1.099</v>
      </c>
    </row>
    <row r="50" spans="1:12">
      <c r="A50" s="21" t="s">
        <v>13</v>
      </c>
      <c r="B50" s="22" t="s">
        <v>167</v>
      </c>
      <c r="C50" s="23"/>
      <c r="D50" s="23"/>
      <c r="E50" s="30">
        <v>100</v>
      </c>
      <c r="F50" s="32">
        <v>0.4</v>
      </c>
      <c r="G50" s="32">
        <v>0.4</v>
      </c>
      <c r="H50" s="32">
        <v>9.8000000000000007</v>
      </c>
      <c r="I50" s="32">
        <v>42.7</v>
      </c>
      <c r="J50" s="32">
        <v>10</v>
      </c>
      <c r="K50" s="10"/>
      <c r="L50" s="5"/>
    </row>
    <row r="51" spans="1:12">
      <c r="A51" s="4"/>
      <c r="B51" s="68" t="s">
        <v>12</v>
      </c>
      <c r="C51" s="68"/>
      <c r="D51" s="68"/>
      <c r="E51" s="30"/>
      <c r="F51" s="32"/>
      <c r="G51" s="32"/>
      <c r="H51" s="32"/>
      <c r="I51" s="32"/>
      <c r="J51" s="32"/>
    </row>
    <row r="52" spans="1:12">
      <c r="A52" s="4" t="s">
        <v>65</v>
      </c>
      <c r="B52" s="59" t="s">
        <v>140</v>
      </c>
      <c r="C52" s="59"/>
      <c r="D52" s="59"/>
      <c r="E52" s="30">
        <v>40</v>
      </c>
      <c r="F52" s="32">
        <f>1.7/100*E52</f>
        <v>0.68</v>
      </c>
      <c r="G52" s="32">
        <f>6.6/100*E52</f>
        <v>2.64</v>
      </c>
      <c r="H52" s="32">
        <f>11.9/100*E52</f>
        <v>4.7600000000000007</v>
      </c>
      <c r="I52" s="32">
        <f>105/100*E52</f>
        <v>42</v>
      </c>
      <c r="J52" s="32">
        <f>37.6/100*E52</f>
        <v>15.04</v>
      </c>
    </row>
    <row r="53" spans="1:12">
      <c r="A53" s="4" t="s">
        <v>38</v>
      </c>
      <c r="B53" s="59" t="s">
        <v>67</v>
      </c>
      <c r="C53" s="59"/>
      <c r="D53" s="59"/>
      <c r="E53" s="30">
        <v>150</v>
      </c>
      <c r="F53" s="32">
        <f>0.7/100*E53</f>
        <v>1.0499999999999998</v>
      </c>
      <c r="G53" s="32">
        <f>1.3/100*E53</f>
        <v>1.9500000000000002</v>
      </c>
      <c r="H53" s="32">
        <f>5.2/100*E53</f>
        <v>7.8000000000000007</v>
      </c>
      <c r="I53" s="32">
        <f>34/100*E53</f>
        <v>51.000000000000007</v>
      </c>
      <c r="J53" s="32">
        <f>1.8/100*E53</f>
        <v>2.7</v>
      </c>
    </row>
    <row r="54" spans="1:12">
      <c r="A54" s="4"/>
      <c r="B54" s="76" t="s">
        <v>66</v>
      </c>
      <c r="C54" s="76"/>
      <c r="D54" s="76"/>
      <c r="E54" s="30">
        <v>10</v>
      </c>
      <c r="F54" s="43">
        <f t="shared" ref="F54:F58" si="6">3.6/100*E54</f>
        <v>0.36000000000000004</v>
      </c>
      <c r="G54" s="43">
        <f t="shared" ref="G54:G58" si="7">3.3/100*E54</f>
        <v>0.33</v>
      </c>
      <c r="H54" s="43">
        <f t="shared" ref="H54:H58" si="8">16.8/100*E54</f>
        <v>1.6800000000000002</v>
      </c>
      <c r="I54" s="43">
        <f t="shared" ref="I54:I58" si="9">103/100*E54</f>
        <v>10.3</v>
      </c>
      <c r="J54" s="43">
        <f t="shared" ref="J54:J58" si="10">0.2/100*E54</f>
        <v>0.02</v>
      </c>
    </row>
    <row r="55" spans="1:12">
      <c r="A55" s="4" t="s">
        <v>22</v>
      </c>
      <c r="B55" s="76" t="s">
        <v>141</v>
      </c>
      <c r="C55" s="76"/>
      <c r="D55" s="76"/>
      <c r="E55" s="30">
        <v>100</v>
      </c>
      <c r="F55" s="32">
        <f>2.1/100*E55</f>
        <v>2.1</v>
      </c>
      <c r="G55" s="32">
        <f>2.8/100*E55</f>
        <v>2.8</v>
      </c>
      <c r="H55" s="32">
        <f>14.9/100*E55</f>
        <v>14.899999999999999</v>
      </c>
      <c r="I55" s="32">
        <f>90/100*E55</f>
        <v>90</v>
      </c>
      <c r="J55" s="32">
        <f>7.2/100*E55</f>
        <v>7.2000000000000011</v>
      </c>
    </row>
    <row r="56" spans="1:12">
      <c r="A56" s="4" t="s">
        <v>68</v>
      </c>
      <c r="B56" s="76" t="s">
        <v>187</v>
      </c>
      <c r="C56" s="76"/>
      <c r="D56" s="76"/>
      <c r="E56" s="30">
        <v>60</v>
      </c>
      <c r="F56" s="32">
        <f>11/70*E56</f>
        <v>9.4285714285714288</v>
      </c>
      <c r="G56" s="32">
        <f>13.6/70*E56</f>
        <v>11.657142857142857</v>
      </c>
      <c r="H56" s="32">
        <f>2.2/70*E56</f>
        <v>1.8857142857142859</v>
      </c>
      <c r="I56" s="32">
        <f>175.7/70*E56</f>
        <v>150.6</v>
      </c>
      <c r="J56" s="32">
        <f t="shared" si="10"/>
        <v>0.12</v>
      </c>
    </row>
    <row r="57" spans="1:12">
      <c r="A57" s="4" t="s">
        <v>32</v>
      </c>
      <c r="B57" s="76" t="s">
        <v>33</v>
      </c>
      <c r="C57" s="76"/>
      <c r="D57" s="76"/>
      <c r="E57" s="30">
        <v>150</v>
      </c>
      <c r="F57" s="32">
        <f>0.2/100*E57</f>
        <v>0.3</v>
      </c>
      <c r="G57" s="32">
        <f>0/100*E57</f>
        <v>0</v>
      </c>
      <c r="H57" s="32">
        <f>10/100*E57</f>
        <v>15</v>
      </c>
      <c r="I57" s="32">
        <f>36/100*E57</f>
        <v>54</v>
      </c>
      <c r="J57" s="32">
        <f>25.1/100*E57</f>
        <v>37.65</v>
      </c>
    </row>
    <row r="58" spans="1:12">
      <c r="A58" s="21"/>
      <c r="B58" s="59" t="s">
        <v>15</v>
      </c>
      <c r="C58" s="59"/>
      <c r="D58" s="59"/>
      <c r="E58" s="30">
        <v>10</v>
      </c>
      <c r="F58" s="32">
        <f t="shared" si="6"/>
        <v>0.36000000000000004</v>
      </c>
      <c r="G58" s="32">
        <f t="shared" si="7"/>
        <v>0.33</v>
      </c>
      <c r="H58" s="32">
        <f t="shared" si="8"/>
        <v>1.6800000000000002</v>
      </c>
      <c r="I58" s="32">
        <f t="shared" si="9"/>
        <v>10.3</v>
      </c>
      <c r="J58" s="32">
        <f t="shared" si="10"/>
        <v>0.02</v>
      </c>
    </row>
    <row r="59" spans="1:12">
      <c r="A59" s="21"/>
      <c r="B59" s="59" t="s">
        <v>16</v>
      </c>
      <c r="C59" s="59"/>
      <c r="D59" s="59"/>
      <c r="E59" s="30">
        <v>30</v>
      </c>
      <c r="F59" s="32">
        <f>2.64/40*E59</f>
        <v>1.98</v>
      </c>
      <c r="G59" s="32">
        <f>0/40*E59</f>
        <v>0</v>
      </c>
      <c r="H59" s="32">
        <f>0.48/40*E59</f>
        <v>0.36</v>
      </c>
      <c r="I59" s="32">
        <f>13.36/40*E59</f>
        <v>10.02</v>
      </c>
      <c r="J59" s="32">
        <f>0/40*E59</f>
        <v>0</v>
      </c>
    </row>
    <row r="60" spans="1:12">
      <c r="A60" s="4"/>
      <c r="B60" s="64" t="s">
        <v>166</v>
      </c>
      <c r="C60" s="64"/>
      <c r="D60" s="64"/>
      <c r="E60" s="33">
        <f>SUM(E52:E59)</f>
        <v>550</v>
      </c>
      <c r="F60" s="34">
        <f t="shared" ref="F60:J60" si="11">SUM(F52:F59)</f>
        <v>16.258571428571429</v>
      </c>
      <c r="G60" s="34">
        <f t="shared" si="11"/>
        <v>19.707142857142856</v>
      </c>
      <c r="H60" s="34">
        <f t="shared" si="11"/>
        <v>48.065714285714286</v>
      </c>
      <c r="I60" s="34">
        <f t="shared" si="11"/>
        <v>418.21999999999997</v>
      </c>
      <c r="J60" s="34">
        <f t="shared" si="11"/>
        <v>62.750000000000007</v>
      </c>
    </row>
    <row r="61" spans="1:12">
      <c r="A61" s="4"/>
      <c r="B61" s="73" t="s">
        <v>17</v>
      </c>
      <c r="C61" s="74"/>
      <c r="D61" s="75"/>
      <c r="E61" s="30"/>
      <c r="F61" s="32"/>
      <c r="G61" s="32"/>
      <c r="H61" s="32"/>
      <c r="I61" s="32"/>
      <c r="J61" s="32"/>
    </row>
    <row r="62" spans="1:12">
      <c r="A62" s="4" t="s">
        <v>69</v>
      </c>
      <c r="B62" s="59" t="s">
        <v>188</v>
      </c>
      <c r="C62" s="59"/>
      <c r="D62" s="59"/>
      <c r="E62" s="30">
        <v>60</v>
      </c>
      <c r="F62" s="32">
        <f>5.9/100*E62</f>
        <v>3.54</v>
      </c>
      <c r="G62" s="32">
        <f>5/100*E62</f>
        <v>3</v>
      </c>
      <c r="H62" s="32">
        <f>62.4/100*E62</f>
        <v>37.44</v>
      </c>
      <c r="I62" s="32">
        <f>307/100*E62</f>
        <v>184.2</v>
      </c>
      <c r="J62" s="32">
        <f>0.2/100*E62</f>
        <v>0.12</v>
      </c>
    </row>
    <row r="63" spans="1:12">
      <c r="A63" s="4"/>
      <c r="B63" s="59" t="s">
        <v>70</v>
      </c>
      <c r="C63" s="59"/>
      <c r="D63" s="59"/>
      <c r="E63" s="30">
        <v>150</v>
      </c>
      <c r="F63" s="32">
        <f>2.9/100*E63</f>
        <v>4.3499999999999996</v>
      </c>
      <c r="G63" s="32">
        <f>3.2/100*E63</f>
        <v>4.8</v>
      </c>
      <c r="H63" s="32">
        <f>4.7/100*E63</f>
        <v>7.05</v>
      </c>
      <c r="I63" s="32">
        <f>59/100*E63</f>
        <v>88.5</v>
      </c>
      <c r="J63" s="32">
        <f>1.3/100*E63</f>
        <v>1.9500000000000002</v>
      </c>
    </row>
    <row r="64" spans="1:12">
      <c r="A64" s="4"/>
      <c r="B64" s="64" t="s">
        <v>166</v>
      </c>
      <c r="C64" s="64"/>
      <c r="D64" s="64"/>
      <c r="E64" s="33">
        <f>SUM(E62:E63)</f>
        <v>210</v>
      </c>
      <c r="F64" s="34">
        <f t="shared" ref="F64:J64" si="12">SUM(F62:F63)</f>
        <v>7.89</v>
      </c>
      <c r="G64" s="34">
        <f t="shared" si="12"/>
        <v>7.8</v>
      </c>
      <c r="H64" s="34">
        <f t="shared" si="12"/>
        <v>44.489999999999995</v>
      </c>
      <c r="I64" s="34">
        <f t="shared" si="12"/>
        <v>272.7</v>
      </c>
      <c r="J64" s="34">
        <f t="shared" si="12"/>
        <v>2.0700000000000003</v>
      </c>
    </row>
    <row r="65" spans="1:10">
      <c r="A65" s="4"/>
      <c r="B65" s="77" t="s">
        <v>19</v>
      </c>
      <c r="C65" s="77"/>
      <c r="D65" s="77"/>
      <c r="E65" s="35">
        <f>E49+E50+E60+E64</f>
        <v>1207</v>
      </c>
      <c r="F65" s="37">
        <f t="shared" ref="F65:J65" si="13">F49+F50+F60+F64</f>
        <v>36.302904761904763</v>
      </c>
      <c r="G65" s="37">
        <f t="shared" si="13"/>
        <v>41.310809523809517</v>
      </c>
      <c r="H65" s="37">
        <f t="shared" si="13"/>
        <v>151.30238095238093</v>
      </c>
      <c r="I65" s="37">
        <f t="shared" si="13"/>
        <v>1102.1333333333332</v>
      </c>
      <c r="J65" s="37">
        <f t="shared" si="13"/>
        <v>75.919000000000011</v>
      </c>
    </row>
    <row r="66" spans="1:10">
      <c r="A66" s="45" t="s">
        <v>54</v>
      </c>
      <c r="B66" s="59"/>
      <c r="C66" s="59"/>
      <c r="D66" s="59"/>
      <c r="E66" s="30"/>
      <c r="F66" s="32"/>
      <c r="G66" s="32"/>
      <c r="H66" s="32"/>
      <c r="I66" s="32">
        <f>I65*100/1963</f>
        <v>56.145355748004746</v>
      </c>
      <c r="J66" s="32"/>
    </row>
    <row r="67" spans="1:10">
      <c r="A67" s="68" t="s">
        <v>28</v>
      </c>
      <c r="B67" s="68"/>
      <c r="C67" s="68"/>
      <c r="D67" s="68"/>
      <c r="E67" s="68"/>
      <c r="F67" s="68"/>
      <c r="G67" s="68"/>
      <c r="H67" s="68"/>
      <c r="I67" s="68"/>
      <c r="J67" s="68"/>
    </row>
    <row r="68" spans="1:10">
      <c r="A68" s="45"/>
      <c r="B68" s="73" t="s">
        <v>8</v>
      </c>
      <c r="C68" s="74"/>
      <c r="D68" s="75"/>
      <c r="E68" s="30"/>
      <c r="F68" s="32"/>
      <c r="G68" s="32"/>
      <c r="H68" s="32"/>
      <c r="I68" s="32"/>
      <c r="J68" s="32"/>
    </row>
    <row r="69" spans="1:10">
      <c r="A69" s="4" t="s">
        <v>71</v>
      </c>
      <c r="B69" s="22" t="s">
        <v>170</v>
      </c>
      <c r="C69" s="23"/>
      <c r="D69" s="23"/>
      <c r="E69" s="30">
        <v>150</v>
      </c>
      <c r="F69" s="32">
        <f>16.9/100*E69</f>
        <v>25.349999999999998</v>
      </c>
      <c r="G69" s="32">
        <f>9.6/100*E69</f>
        <v>14.4</v>
      </c>
      <c r="H69" s="32">
        <f>13.4/100*E69</f>
        <v>20.100000000000001</v>
      </c>
      <c r="I69" s="32">
        <f>209/100*E69</f>
        <v>313.5</v>
      </c>
      <c r="J69" s="32">
        <f>0.2/100*E69</f>
        <v>0.3</v>
      </c>
    </row>
    <row r="70" spans="1:10">
      <c r="A70" s="4">
        <v>42861</v>
      </c>
      <c r="B70" s="59" t="s">
        <v>142</v>
      </c>
      <c r="C70" s="59"/>
      <c r="D70" s="59"/>
      <c r="E70" s="30">
        <v>30</v>
      </c>
      <c r="F70" s="32">
        <f>2/100*E70</f>
        <v>0.6</v>
      </c>
      <c r="G70" s="32">
        <f>5.8/100*E70</f>
        <v>1.7399999999999998</v>
      </c>
      <c r="H70" s="32">
        <f>6.8/100*E70</f>
        <v>2.04</v>
      </c>
      <c r="I70" s="32">
        <f>62.5/100*E70</f>
        <v>18.75</v>
      </c>
      <c r="J70" s="32">
        <f>0.3/100*E70</f>
        <v>0.09</v>
      </c>
    </row>
    <row r="71" spans="1:10">
      <c r="A71" s="21" t="s">
        <v>11</v>
      </c>
      <c r="B71" s="59" t="s">
        <v>177</v>
      </c>
      <c r="C71" s="59"/>
      <c r="D71" s="59"/>
      <c r="E71" s="30">
        <v>35</v>
      </c>
      <c r="F71" s="32">
        <f>1.94/30*E71</f>
        <v>2.2633333333333332</v>
      </c>
      <c r="G71" s="32">
        <f>3.85/30*E71</f>
        <v>4.4916666666666663</v>
      </c>
      <c r="H71" s="32">
        <f>11.74/30*E71</f>
        <v>13.696666666666667</v>
      </c>
      <c r="I71" s="32">
        <f>90.44/30*E71</f>
        <v>105.51333333333332</v>
      </c>
      <c r="J71" s="32">
        <f>0/30*E71</f>
        <v>0</v>
      </c>
    </row>
    <row r="72" spans="1:10">
      <c r="A72" s="21"/>
      <c r="B72" s="69" t="s">
        <v>39</v>
      </c>
      <c r="C72" s="70"/>
      <c r="D72" s="71"/>
      <c r="E72" s="30">
        <v>5</v>
      </c>
      <c r="F72" s="42"/>
      <c r="G72" s="42"/>
      <c r="H72" s="42"/>
      <c r="I72" s="42"/>
      <c r="J72" s="42"/>
    </row>
    <row r="73" spans="1:10">
      <c r="A73" s="4" t="s">
        <v>72</v>
      </c>
      <c r="B73" s="59" t="s">
        <v>26</v>
      </c>
      <c r="C73" s="59"/>
      <c r="D73" s="59"/>
      <c r="E73" s="30">
        <v>150</v>
      </c>
      <c r="F73" s="32">
        <f>1.9/100*E73</f>
        <v>2.85</v>
      </c>
      <c r="G73" s="32">
        <f>1.7/100*E73</f>
        <v>2.5500000000000003</v>
      </c>
      <c r="H73" s="32">
        <f>12.3/100*E73</f>
        <v>18.450000000000003</v>
      </c>
      <c r="I73" s="32">
        <f>55.9/100*E73</f>
        <v>83.85</v>
      </c>
      <c r="J73" s="32">
        <f>0.3/100*E73</f>
        <v>0.45</v>
      </c>
    </row>
    <row r="74" spans="1:10">
      <c r="A74" s="4"/>
      <c r="B74" s="25" t="s">
        <v>166</v>
      </c>
      <c r="C74" s="26"/>
      <c r="D74" s="26"/>
      <c r="E74" s="33">
        <f>SUM(E69+E70+E71+E72+E73)</f>
        <v>370</v>
      </c>
      <c r="F74" s="34">
        <f>SUM(F69:F73)</f>
        <v>31.063333333333333</v>
      </c>
      <c r="G74" s="34">
        <f t="shared" ref="G74:J74" si="14">SUM(G69:G73)</f>
        <v>23.181666666666668</v>
      </c>
      <c r="H74" s="34">
        <f t="shared" si="14"/>
        <v>54.286666666666669</v>
      </c>
      <c r="I74" s="34">
        <f t="shared" si="14"/>
        <v>521.61333333333334</v>
      </c>
      <c r="J74" s="34">
        <f t="shared" si="14"/>
        <v>0.84000000000000008</v>
      </c>
    </row>
    <row r="75" spans="1:10">
      <c r="A75" s="21" t="s">
        <v>13</v>
      </c>
      <c r="B75" s="22" t="s">
        <v>167</v>
      </c>
      <c r="C75" s="23"/>
      <c r="D75" s="23"/>
      <c r="E75" s="30">
        <v>100</v>
      </c>
      <c r="F75" s="32">
        <v>0.4</v>
      </c>
      <c r="G75" s="32">
        <v>0.4</v>
      </c>
      <c r="H75" s="32">
        <v>9.8000000000000007</v>
      </c>
      <c r="I75" s="32">
        <v>42.7</v>
      </c>
      <c r="J75" s="32">
        <v>10</v>
      </c>
    </row>
    <row r="76" spans="1:10">
      <c r="A76" s="4"/>
      <c r="B76" s="68" t="s">
        <v>12</v>
      </c>
      <c r="C76" s="68"/>
      <c r="D76" s="68"/>
      <c r="E76" s="30"/>
      <c r="F76" s="32"/>
      <c r="G76" s="32"/>
      <c r="H76" s="32"/>
      <c r="I76" s="32"/>
      <c r="J76" s="32"/>
    </row>
    <row r="77" spans="1:10">
      <c r="A77" s="4" t="s">
        <v>73</v>
      </c>
      <c r="B77" s="22" t="s">
        <v>75</v>
      </c>
      <c r="C77" s="23"/>
      <c r="D77" s="23"/>
      <c r="E77" s="30">
        <v>40</v>
      </c>
      <c r="F77" s="32">
        <f>1.5/100*E77</f>
        <v>0.6</v>
      </c>
      <c r="G77" s="32">
        <f>6.8/100*E77</f>
        <v>2.72</v>
      </c>
      <c r="H77" s="32">
        <f>11/100*E77</f>
        <v>4.4000000000000004</v>
      </c>
      <c r="I77" s="32">
        <f>107/100*E77</f>
        <v>42.800000000000004</v>
      </c>
      <c r="J77" s="32">
        <f>4.8/100*E77</f>
        <v>1.92</v>
      </c>
    </row>
    <row r="78" spans="1:10">
      <c r="A78" s="4"/>
      <c r="B78" s="59" t="s">
        <v>74</v>
      </c>
      <c r="C78" s="59"/>
      <c r="D78" s="59"/>
      <c r="E78" s="2"/>
      <c r="F78" s="32"/>
      <c r="G78" s="32"/>
      <c r="H78" s="32"/>
      <c r="I78" s="32"/>
      <c r="J78" s="32"/>
    </row>
    <row r="79" spans="1:10">
      <c r="A79" s="4" t="s">
        <v>78</v>
      </c>
      <c r="B79" s="59" t="s">
        <v>76</v>
      </c>
      <c r="C79" s="59"/>
      <c r="D79" s="59"/>
      <c r="E79" s="30">
        <v>150</v>
      </c>
      <c r="F79" s="32">
        <f>0.9/100*E79</f>
        <v>1.35</v>
      </c>
      <c r="G79" s="32">
        <f>2.2/100*E79</f>
        <v>3.3000000000000003</v>
      </c>
      <c r="H79" s="32">
        <f>6.9/100*E79</f>
        <v>10.350000000000001</v>
      </c>
      <c r="I79" s="32">
        <f>46/100*E79</f>
        <v>69</v>
      </c>
      <c r="J79" s="32">
        <f>2.7/100*E79</f>
        <v>4.0500000000000007</v>
      </c>
    </row>
    <row r="80" spans="1:10">
      <c r="A80" s="4"/>
      <c r="B80" s="59" t="s">
        <v>77</v>
      </c>
      <c r="C80" s="59"/>
      <c r="D80" s="59"/>
      <c r="E80" s="30">
        <v>7</v>
      </c>
      <c r="F80" s="32"/>
      <c r="G80" s="32"/>
      <c r="H80" s="32"/>
      <c r="I80" s="32"/>
      <c r="J80" s="32"/>
    </row>
    <row r="81" spans="1:10">
      <c r="A81" s="4" t="s">
        <v>41</v>
      </c>
      <c r="B81" s="59" t="s">
        <v>40</v>
      </c>
      <c r="C81" s="59"/>
      <c r="D81" s="59"/>
      <c r="E81" s="30">
        <v>100</v>
      </c>
      <c r="F81" s="32">
        <f>1.6/100*E81</f>
        <v>1.6</v>
      </c>
      <c r="G81" s="32">
        <f>2.5/100*E81</f>
        <v>2.5</v>
      </c>
      <c r="H81" s="32">
        <f>10.7/100*E81</f>
        <v>10.7</v>
      </c>
      <c r="I81" s="32">
        <f>65/100*E81</f>
        <v>65</v>
      </c>
      <c r="J81" s="32">
        <f>7.1/100*E81</f>
        <v>7.1</v>
      </c>
    </row>
    <row r="82" spans="1:10">
      <c r="A82" s="4" t="s">
        <v>81</v>
      </c>
      <c r="B82" s="59" t="s">
        <v>79</v>
      </c>
      <c r="C82" s="59"/>
      <c r="D82" s="59"/>
      <c r="E82" s="30">
        <v>70</v>
      </c>
      <c r="F82" s="32">
        <f>10.8/100*E82</f>
        <v>7.5600000000000005</v>
      </c>
      <c r="G82" s="32">
        <f>11.7/100*E82</f>
        <v>8.19</v>
      </c>
      <c r="H82" s="32">
        <f>6.4/100*E82</f>
        <v>4.4800000000000004</v>
      </c>
      <c r="I82" s="32">
        <f>37.7/100*E82</f>
        <v>26.39</v>
      </c>
      <c r="J82" s="32">
        <f>0.1/100*E82</f>
        <v>7.0000000000000007E-2</v>
      </c>
    </row>
    <row r="83" spans="1:10">
      <c r="A83" s="4"/>
      <c r="B83" s="59" t="s">
        <v>80</v>
      </c>
      <c r="C83" s="59"/>
      <c r="D83" s="59"/>
      <c r="E83" s="30"/>
      <c r="F83" s="32"/>
      <c r="G83" s="32"/>
      <c r="H83" s="32"/>
      <c r="I83" s="32"/>
      <c r="J83" s="32"/>
    </row>
    <row r="84" spans="1:10">
      <c r="A84" s="4" t="s">
        <v>83</v>
      </c>
      <c r="B84" s="59" t="s">
        <v>82</v>
      </c>
      <c r="C84" s="59"/>
      <c r="D84" s="59"/>
      <c r="E84" s="30">
        <v>150</v>
      </c>
      <c r="F84" s="32">
        <f>0.5/100*E84</f>
        <v>0.75</v>
      </c>
      <c r="G84" s="32">
        <f>0/100*E84</f>
        <v>0</v>
      </c>
      <c r="H84" s="32">
        <f>16/100*E84</f>
        <v>24</v>
      </c>
      <c r="I84" s="32">
        <f>57/100*E84</f>
        <v>85.499999999999986</v>
      </c>
      <c r="J84" s="32">
        <f>25.2/100*E84</f>
        <v>37.799999999999997</v>
      </c>
    </row>
    <row r="85" spans="1:10">
      <c r="A85" s="4"/>
      <c r="B85" s="59" t="s">
        <v>15</v>
      </c>
      <c r="C85" s="59"/>
      <c r="D85" s="59"/>
      <c r="E85" s="30">
        <v>10</v>
      </c>
      <c r="F85" s="32">
        <f t="shared" ref="F85" si="15">0.9/100*E85</f>
        <v>9.0000000000000011E-2</v>
      </c>
      <c r="G85" s="32">
        <f t="shared" ref="G85" si="16">2.2/100*E85</f>
        <v>0.22000000000000003</v>
      </c>
      <c r="H85" s="32">
        <f t="shared" ref="H85" si="17">6.9/100*E85</f>
        <v>0.69000000000000006</v>
      </c>
      <c r="I85" s="32">
        <f t="shared" ref="I85" si="18">46/100*E85</f>
        <v>4.6000000000000005</v>
      </c>
      <c r="J85" s="32">
        <f t="shared" ref="J85" si="19">2.7/100*E85</f>
        <v>0.27</v>
      </c>
    </row>
    <row r="86" spans="1:10">
      <c r="A86" s="4"/>
      <c r="B86" s="59" t="s">
        <v>16</v>
      </c>
      <c r="C86" s="59"/>
      <c r="D86" s="59"/>
      <c r="E86" s="30">
        <v>23</v>
      </c>
      <c r="F86" s="32">
        <f>2.64/40*E86</f>
        <v>1.518</v>
      </c>
      <c r="G86" s="32">
        <f>0/40*E86</f>
        <v>0</v>
      </c>
      <c r="H86" s="32">
        <f>0.48/40*E86</f>
        <v>0.27600000000000002</v>
      </c>
      <c r="I86" s="32">
        <f>13.36/40*E86</f>
        <v>7.6819999999999995</v>
      </c>
      <c r="J86" s="32">
        <f>0/40*E86</f>
        <v>0</v>
      </c>
    </row>
    <row r="87" spans="1:10">
      <c r="A87" s="4"/>
      <c r="B87" s="64" t="s">
        <v>166</v>
      </c>
      <c r="C87" s="64"/>
      <c r="D87" s="64"/>
      <c r="E87" s="33">
        <f t="shared" ref="E87:J87" si="20">SUM(E77:E86)</f>
        <v>550</v>
      </c>
      <c r="F87" s="34">
        <f t="shared" si="20"/>
        <v>13.468000000000002</v>
      </c>
      <c r="G87" s="34">
        <f t="shared" si="20"/>
        <v>16.93</v>
      </c>
      <c r="H87" s="34">
        <f t="shared" si="20"/>
        <v>54.896000000000008</v>
      </c>
      <c r="I87" s="34">
        <f t="shared" si="20"/>
        <v>300.97200000000004</v>
      </c>
      <c r="J87" s="34">
        <f t="shared" si="20"/>
        <v>51.21</v>
      </c>
    </row>
    <row r="88" spans="1:10">
      <c r="A88" s="4"/>
      <c r="B88" s="73" t="s">
        <v>17</v>
      </c>
      <c r="C88" s="74"/>
      <c r="D88" s="75"/>
      <c r="E88" s="30"/>
      <c r="F88" s="32"/>
      <c r="G88" s="32"/>
      <c r="H88" s="32"/>
      <c r="I88" s="32"/>
      <c r="J88" s="32"/>
    </row>
    <row r="89" spans="1:10">
      <c r="A89" s="4" t="s">
        <v>84</v>
      </c>
      <c r="B89" s="59" t="s">
        <v>189</v>
      </c>
      <c r="C89" s="59"/>
      <c r="D89" s="59"/>
      <c r="E89" s="30">
        <v>60</v>
      </c>
      <c r="F89" s="32">
        <f>11.9/100*E89</f>
        <v>7.1400000000000006</v>
      </c>
      <c r="G89" s="32">
        <f>14.6/100*E89</f>
        <v>8.76</v>
      </c>
      <c r="H89" s="32">
        <f>60.4/100*E89</f>
        <v>36.24</v>
      </c>
      <c r="I89" s="32">
        <f>460/100*E89</f>
        <v>276</v>
      </c>
      <c r="J89" s="32">
        <f>22.5/100*E89</f>
        <v>13.5</v>
      </c>
    </row>
    <row r="90" spans="1:10">
      <c r="A90" s="4"/>
      <c r="B90" s="69" t="s">
        <v>190</v>
      </c>
      <c r="C90" s="70"/>
      <c r="D90" s="71"/>
      <c r="E90" s="30"/>
      <c r="F90" s="32"/>
      <c r="G90" s="32"/>
      <c r="H90" s="32"/>
      <c r="I90" s="32"/>
      <c r="J90" s="32"/>
    </row>
    <row r="91" spans="1:10">
      <c r="A91" s="4"/>
      <c r="B91" s="59" t="s">
        <v>18</v>
      </c>
      <c r="C91" s="59"/>
      <c r="D91" s="59"/>
      <c r="E91" s="30">
        <v>150</v>
      </c>
      <c r="F91" s="32">
        <f>2.9/100*E91</f>
        <v>4.3499999999999996</v>
      </c>
      <c r="G91" s="32">
        <f>3/100*E91</f>
        <v>4.5</v>
      </c>
      <c r="H91" s="32">
        <f>4.5/100*E91</f>
        <v>6.75</v>
      </c>
      <c r="I91" s="32">
        <f>56/100*E91</f>
        <v>84.000000000000014</v>
      </c>
      <c r="J91" s="32">
        <f>0.5/100*E91</f>
        <v>0.75</v>
      </c>
    </row>
    <row r="92" spans="1:10">
      <c r="A92" s="4"/>
      <c r="B92" s="64" t="s">
        <v>166</v>
      </c>
      <c r="C92" s="64"/>
      <c r="D92" s="64"/>
      <c r="E92" s="33">
        <f>SUM(E89:E91)</f>
        <v>210</v>
      </c>
      <c r="F92" s="34">
        <f t="shared" ref="F92:J92" si="21">SUM(F89:F91)</f>
        <v>11.49</v>
      </c>
      <c r="G92" s="34">
        <f t="shared" si="21"/>
        <v>13.26</v>
      </c>
      <c r="H92" s="34">
        <f t="shared" si="21"/>
        <v>42.99</v>
      </c>
      <c r="I92" s="34">
        <f t="shared" si="21"/>
        <v>360</v>
      </c>
      <c r="J92" s="34">
        <f t="shared" si="21"/>
        <v>14.25</v>
      </c>
    </row>
    <row r="93" spans="1:10">
      <c r="A93" s="4"/>
      <c r="B93" s="77" t="s">
        <v>19</v>
      </c>
      <c r="C93" s="77"/>
      <c r="D93" s="77"/>
      <c r="E93" s="35">
        <f>E74+E75+E87+E92</f>
        <v>1230</v>
      </c>
      <c r="F93" s="37">
        <f t="shared" ref="F93:J93" si="22">F74+F75+F87+F92</f>
        <v>56.421333333333337</v>
      </c>
      <c r="G93" s="37">
        <f t="shared" si="22"/>
        <v>53.771666666666668</v>
      </c>
      <c r="H93" s="37">
        <f t="shared" si="22"/>
        <v>161.9726666666667</v>
      </c>
      <c r="I93" s="37">
        <f t="shared" si="22"/>
        <v>1225.2853333333335</v>
      </c>
      <c r="J93" s="37">
        <f t="shared" si="22"/>
        <v>76.3</v>
      </c>
    </row>
    <row r="94" spans="1:10">
      <c r="A94" s="4" t="s">
        <v>54</v>
      </c>
      <c r="B94" s="59"/>
      <c r="C94" s="59"/>
      <c r="D94" s="59"/>
      <c r="E94" s="30"/>
      <c r="F94" s="32"/>
      <c r="G94" s="32"/>
      <c r="H94" s="32"/>
      <c r="I94" s="32">
        <f>I93*100/1963</f>
        <v>62.419018509084744</v>
      </c>
      <c r="J94" s="32"/>
    </row>
    <row r="95" spans="1:10">
      <c r="A95" s="68" t="s">
        <v>31</v>
      </c>
      <c r="B95" s="68"/>
      <c r="C95" s="68"/>
      <c r="D95" s="68"/>
      <c r="E95" s="68"/>
      <c r="F95" s="68"/>
      <c r="G95" s="68"/>
      <c r="H95" s="68"/>
      <c r="I95" s="68"/>
      <c r="J95" s="68"/>
    </row>
    <row r="96" spans="1:10">
      <c r="A96" s="4"/>
      <c r="B96" s="73" t="s">
        <v>8</v>
      </c>
      <c r="C96" s="74"/>
      <c r="D96" s="75"/>
      <c r="E96" s="30"/>
      <c r="F96" s="32"/>
      <c r="G96" s="32"/>
      <c r="H96" s="32"/>
      <c r="I96" s="32"/>
      <c r="J96" s="32"/>
    </row>
    <row r="97" spans="1:10">
      <c r="A97" s="4" t="s">
        <v>36</v>
      </c>
      <c r="B97" s="59" t="s">
        <v>85</v>
      </c>
      <c r="C97" s="59"/>
      <c r="D97" s="59"/>
      <c r="E97" s="30">
        <v>80</v>
      </c>
      <c r="F97" s="32">
        <f>9.8/100*E97</f>
        <v>7.84</v>
      </c>
      <c r="G97" s="32">
        <f>13.1/100*E97</f>
        <v>10.48</v>
      </c>
      <c r="H97" s="32">
        <f>1.7/100*E97</f>
        <v>1.36</v>
      </c>
      <c r="I97" s="32">
        <f>164/100*E97</f>
        <v>131.19999999999999</v>
      </c>
      <c r="J97" s="32">
        <f>0.1/100*E97</f>
        <v>0.08</v>
      </c>
    </row>
    <row r="98" spans="1:10">
      <c r="A98" s="4" t="s">
        <v>57</v>
      </c>
      <c r="B98" s="59" t="s">
        <v>86</v>
      </c>
      <c r="C98" s="59"/>
      <c r="D98" s="59"/>
      <c r="E98" s="30">
        <v>7</v>
      </c>
      <c r="F98" s="32">
        <f>2.63/10*E98</f>
        <v>1.8410000000000002</v>
      </c>
      <c r="G98" s="32">
        <f>2.66/10*E98</f>
        <v>1.8620000000000001</v>
      </c>
      <c r="H98" s="32">
        <f>0/10*E98</f>
        <v>0</v>
      </c>
      <c r="I98" s="32">
        <f>105/30*E98</f>
        <v>24.5</v>
      </c>
      <c r="J98" s="32">
        <f>0.07/10*E98</f>
        <v>4.9000000000000009E-2</v>
      </c>
    </row>
    <row r="99" spans="1:10">
      <c r="A99" s="4" t="s">
        <v>9</v>
      </c>
      <c r="B99" s="59" t="s">
        <v>176</v>
      </c>
      <c r="C99" s="59"/>
      <c r="D99" s="59"/>
      <c r="E99" s="30">
        <v>150</v>
      </c>
      <c r="F99" s="32">
        <f>1.5/100*E99</f>
        <v>2.25</v>
      </c>
      <c r="G99" s="32">
        <f>1.4/100*E99</f>
        <v>2.0999999999999996</v>
      </c>
      <c r="H99" s="32">
        <f>6.7/100*E99</f>
        <v>10.050000000000001</v>
      </c>
      <c r="I99" s="32">
        <f t="shared" ref="I99" si="23">56/100*E99</f>
        <v>84.000000000000014</v>
      </c>
      <c r="J99" s="32">
        <f t="shared" ref="J99" si="24">0.5/100*E99</f>
        <v>0.75</v>
      </c>
    </row>
    <row r="100" spans="1:10">
      <c r="A100" s="21" t="s">
        <v>11</v>
      </c>
      <c r="B100" s="59" t="s">
        <v>177</v>
      </c>
      <c r="C100" s="59"/>
      <c r="D100" s="59"/>
      <c r="E100" s="30">
        <v>35</v>
      </c>
      <c r="F100" s="32">
        <f>1.94/30*E100</f>
        <v>2.2633333333333332</v>
      </c>
      <c r="G100" s="32">
        <f>3.85/30*E100</f>
        <v>4.4916666666666663</v>
      </c>
      <c r="H100" s="32">
        <f>11.74/30*E100</f>
        <v>13.696666666666667</v>
      </c>
      <c r="I100" s="32">
        <f>90.44/30*E100</f>
        <v>105.51333333333332</v>
      </c>
      <c r="J100" s="32">
        <f>0/30*E100</f>
        <v>0</v>
      </c>
    </row>
    <row r="101" spans="1:10">
      <c r="A101" s="21"/>
      <c r="B101" s="69" t="s">
        <v>39</v>
      </c>
      <c r="C101" s="70"/>
      <c r="D101" s="71"/>
      <c r="E101" s="30">
        <v>5</v>
      </c>
      <c r="F101" s="32"/>
      <c r="G101" s="32"/>
      <c r="H101" s="32"/>
      <c r="I101" s="32"/>
      <c r="J101" s="32"/>
    </row>
    <row r="102" spans="1:10">
      <c r="A102" s="4"/>
      <c r="B102" s="64" t="s">
        <v>166</v>
      </c>
      <c r="C102" s="64"/>
      <c r="D102" s="64"/>
      <c r="E102" s="33">
        <f>E97+E98+E99+E100+E101</f>
        <v>277</v>
      </c>
      <c r="F102" s="34">
        <f>SUM(F97:F100)</f>
        <v>14.194333333333335</v>
      </c>
      <c r="G102" s="34">
        <f t="shared" ref="G102:J102" si="25">SUM(G97:G100)</f>
        <v>18.933666666666667</v>
      </c>
      <c r="H102" s="34">
        <f t="shared" si="25"/>
        <v>25.106666666666669</v>
      </c>
      <c r="I102" s="34">
        <f t="shared" si="25"/>
        <v>345.21333333333331</v>
      </c>
      <c r="J102" s="34">
        <f t="shared" si="25"/>
        <v>0.879</v>
      </c>
    </row>
    <row r="103" spans="1:10">
      <c r="A103" s="21" t="s">
        <v>13</v>
      </c>
      <c r="B103" s="22" t="s">
        <v>167</v>
      </c>
      <c r="C103" s="23"/>
      <c r="D103" s="23"/>
      <c r="E103" s="30">
        <v>100</v>
      </c>
      <c r="F103" s="32">
        <v>0.4</v>
      </c>
      <c r="G103" s="32">
        <v>0.4</v>
      </c>
      <c r="H103" s="32">
        <v>9.8000000000000007</v>
      </c>
      <c r="I103" s="32">
        <v>42.7</v>
      </c>
      <c r="J103" s="32">
        <v>10</v>
      </c>
    </row>
    <row r="104" spans="1:10">
      <c r="A104" s="45"/>
      <c r="B104" s="68" t="s">
        <v>12</v>
      </c>
      <c r="C104" s="68"/>
      <c r="D104" s="68"/>
      <c r="E104" s="30"/>
      <c r="F104" s="32"/>
      <c r="G104" s="32"/>
      <c r="H104" s="32"/>
      <c r="I104" s="32"/>
      <c r="J104" s="32"/>
    </row>
    <row r="105" spans="1:10">
      <c r="A105" s="4" t="s">
        <v>87</v>
      </c>
      <c r="B105" s="59" t="s">
        <v>171</v>
      </c>
      <c r="C105" s="59"/>
      <c r="D105" s="59"/>
      <c r="E105" s="30">
        <v>40</v>
      </c>
      <c r="F105" s="32">
        <f>1.1/100*E105</f>
        <v>0.44000000000000006</v>
      </c>
      <c r="G105" s="32">
        <f>8.3/100*E105</f>
        <v>3.3200000000000003</v>
      </c>
      <c r="H105" s="32">
        <f>13.6/100*E105</f>
        <v>5.44</v>
      </c>
      <c r="I105" s="32">
        <f>27.2/100*E105</f>
        <v>10.88</v>
      </c>
      <c r="J105" s="32">
        <f>3.1/100*E105</f>
        <v>1.24</v>
      </c>
    </row>
    <row r="106" spans="1:10">
      <c r="A106" s="4" t="s">
        <v>143</v>
      </c>
      <c r="B106" s="69" t="s">
        <v>88</v>
      </c>
      <c r="C106" s="70"/>
      <c r="D106" s="71"/>
      <c r="E106" s="30">
        <v>150</v>
      </c>
      <c r="F106" s="32">
        <f>0.7/100*E106</f>
        <v>1.0499999999999998</v>
      </c>
      <c r="G106" s="32">
        <f>1.3/100*E106</f>
        <v>1.9500000000000002</v>
      </c>
      <c r="H106" s="32">
        <f>3.7/100*E106</f>
        <v>5.5500000000000007</v>
      </c>
      <c r="I106" s="32">
        <f>27/100*E106</f>
        <v>40.5</v>
      </c>
      <c r="J106" s="32">
        <f>5.4/100*E106</f>
        <v>8.1000000000000014</v>
      </c>
    </row>
    <row r="107" spans="1:10">
      <c r="A107" s="4"/>
      <c r="B107" s="59" t="s">
        <v>89</v>
      </c>
      <c r="C107" s="59"/>
      <c r="D107" s="59"/>
      <c r="E107" s="30">
        <v>10</v>
      </c>
      <c r="F107" s="32"/>
      <c r="G107" s="32"/>
      <c r="H107" s="32"/>
      <c r="I107" s="32"/>
      <c r="J107" s="32"/>
    </row>
    <row r="108" spans="1:10">
      <c r="A108" s="4" t="s">
        <v>22</v>
      </c>
      <c r="B108" s="76" t="s">
        <v>23</v>
      </c>
      <c r="C108" s="76"/>
      <c r="D108" s="76"/>
      <c r="E108" s="30">
        <v>100</v>
      </c>
      <c r="F108" s="32">
        <f>2.1/100*E108</f>
        <v>2.1</v>
      </c>
      <c r="G108" s="32">
        <f>2.8/100*E108</f>
        <v>2.8</v>
      </c>
      <c r="H108" s="32">
        <f>14.9/100*E108</f>
        <v>14.899999999999999</v>
      </c>
      <c r="I108" s="32">
        <f>90/100*E108</f>
        <v>90</v>
      </c>
      <c r="J108" s="32">
        <f>7.2/100*E108</f>
        <v>7.2000000000000011</v>
      </c>
    </row>
    <row r="109" spans="1:10">
      <c r="A109" s="4" t="s">
        <v>91</v>
      </c>
      <c r="B109" s="59" t="s">
        <v>90</v>
      </c>
      <c r="C109" s="59"/>
      <c r="D109" s="59"/>
      <c r="E109" s="30">
        <v>60</v>
      </c>
      <c r="F109" s="32">
        <f>22.3/100*E109</f>
        <v>13.38</v>
      </c>
      <c r="G109" s="32">
        <f>21.8/100*E109</f>
        <v>13.08</v>
      </c>
      <c r="H109" s="32">
        <f>0.4/100*E109</f>
        <v>0.24</v>
      </c>
      <c r="I109" s="32">
        <f>287/100*E109</f>
        <v>172.20000000000002</v>
      </c>
      <c r="J109" s="32">
        <f>0.1/100*E109</f>
        <v>0.06</v>
      </c>
    </row>
    <row r="110" spans="1:10">
      <c r="A110" s="4"/>
      <c r="B110" s="59" t="s">
        <v>15</v>
      </c>
      <c r="C110" s="59"/>
      <c r="D110" s="59"/>
      <c r="E110" s="30">
        <v>10</v>
      </c>
      <c r="F110" s="32">
        <f t="shared" ref="F110" si="26">0.9/100*E110</f>
        <v>9.0000000000000011E-2</v>
      </c>
      <c r="G110" s="32">
        <f t="shared" ref="G110" si="27">2.2/100*E110</f>
        <v>0.22000000000000003</v>
      </c>
      <c r="H110" s="32">
        <f t="shared" ref="H110" si="28">6.9/100*E110</f>
        <v>0.69000000000000006</v>
      </c>
      <c r="I110" s="32">
        <f t="shared" ref="I110" si="29">46/100*E110</f>
        <v>4.6000000000000005</v>
      </c>
      <c r="J110" s="32">
        <f t="shared" ref="J110" si="30">2.7/100*E110</f>
        <v>0.27</v>
      </c>
    </row>
    <row r="111" spans="1:10">
      <c r="A111" s="4"/>
      <c r="B111" s="59" t="s">
        <v>16</v>
      </c>
      <c r="C111" s="59"/>
      <c r="D111" s="59"/>
      <c r="E111" s="30">
        <v>30</v>
      </c>
      <c r="F111" s="32">
        <f>2.64/40*E111</f>
        <v>1.98</v>
      </c>
      <c r="G111" s="32">
        <f>0/40*E111</f>
        <v>0</v>
      </c>
      <c r="H111" s="32">
        <f>0.48/40*E111</f>
        <v>0.36</v>
      </c>
      <c r="I111" s="32">
        <f>13.36/40*E111</f>
        <v>10.02</v>
      </c>
      <c r="J111" s="32">
        <f>0/40*E111</f>
        <v>0</v>
      </c>
    </row>
    <row r="112" spans="1:10">
      <c r="A112" s="4" t="s">
        <v>91</v>
      </c>
      <c r="B112" s="59" t="s">
        <v>92</v>
      </c>
      <c r="C112" s="59"/>
      <c r="D112" s="59"/>
      <c r="E112" s="30">
        <v>150</v>
      </c>
      <c r="F112" s="32">
        <f>0.2/100*E112</f>
        <v>0.3</v>
      </c>
      <c r="G112" s="32">
        <f>0/100*E112</f>
        <v>0</v>
      </c>
      <c r="H112" s="32">
        <f>10/100*E112</f>
        <v>15</v>
      </c>
      <c r="I112" s="32">
        <f>36/100*E112</f>
        <v>54</v>
      </c>
      <c r="J112" s="32">
        <f>25.1/100*E112</f>
        <v>37.65</v>
      </c>
    </row>
    <row r="113" spans="1:13">
      <c r="A113" s="4"/>
      <c r="B113" s="25" t="s">
        <v>166</v>
      </c>
      <c r="C113" s="26"/>
      <c r="D113" s="27"/>
      <c r="E113" s="33">
        <f>SUM(E105:E112)</f>
        <v>550</v>
      </c>
      <c r="F113" s="34">
        <f t="shared" ref="F113:J113" si="31">SUM(F105:F112)</f>
        <v>19.34</v>
      </c>
      <c r="G113" s="34">
        <f t="shared" si="31"/>
        <v>21.369999999999997</v>
      </c>
      <c r="H113" s="34">
        <f t="shared" si="31"/>
        <v>42.18</v>
      </c>
      <c r="I113" s="34">
        <f t="shared" si="31"/>
        <v>382.20000000000005</v>
      </c>
      <c r="J113" s="34">
        <f t="shared" si="31"/>
        <v>54.519999999999996</v>
      </c>
    </row>
    <row r="114" spans="1:13">
      <c r="A114" s="4"/>
      <c r="B114" s="100" t="s">
        <v>17</v>
      </c>
      <c r="C114" s="101"/>
      <c r="D114" s="102"/>
      <c r="E114" s="30"/>
      <c r="F114" s="32"/>
      <c r="G114" s="32"/>
      <c r="H114" s="32"/>
      <c r="I114" s="32"/>
      <c r="J114" s="32"/>
    </row>
    <row r="115" spans="1:13">
      <c r="A115" s="4" t="s">
        <v>84</v>
      </c>
      <c r="B115" s="59" t="s">
        <v>93</v>
      </c>
      <c r="C115" s="59"/>
      <c r="D115" s="59"/>
      <c r="E115" s="30">
        <v>60</v>
      </c>
      <c r="F115" s="32">
        <f>8.9/100*E115</f>
        <v>5.3400000000000007</v>
      </c>
      <c r="G115" s="32">
        <f>9.3/100*E115</f>
        <v>5.580000000000001</v>
      </c>
      <c r="H115" s="32">
        <f>79.6/100*E115</f>
        <v>47.76</v>
      </c>
      <c r="I115" s="32">
        <f>423/100*E115</f>
        <v>253.8</v>
      </c>
      <c r="J115" s="32">
        <f>3.5/100*E115</f>
        <v>2.1</v>
      </c>
      <c r="K115" s="10"/>
      <c r="L115" s="5"/>
    </row>
    <row r="116" spans="1:13">
      <c r="A116" s="4"/>
      <c r="B116" s="59" t="s">
        <v>34</v>
      </c>
      <c r="C116" s="59"/>
      <c r="D116" s="59"/>
      <c r="E116" s="30">
        <v>150</v>
      </c>
      <c r="F116" s="32">
        <f>2.9/100*E116</f>
        <v>4.3499999999999996</v>
      </c>
      <c r="G116" s="32">
        <f>3.2/100*E116</f>
        <v>4.8</v>
      </c>
      <c r="H116" s="32">
        <f>4.7/100*E116</f>
        <v>7.05</v>
      </c>
      <c r="I116" s="32">
        <f>59/100*E116</f>
        <v>88.5</v>
      </c>
      <c r="J116" s="32">
        <f>1.3/100*E116</f>
        <v>1.9500000000000002</v>
      </c>
    </row>
    <row r="117" spans="1:13">
      <c r="A117" s="4"/>
      <c r="B117" s="59" t="s">
        <v>35</v>
      </c>
      <c r="C117" s="59"/>
      <c r="D117" s="59"/>
      <c r="E117" s="30"/>
      <c r="F117" s="32"/>
      <c r="G117" s="32"/>
      <c r="H117" s="32"/>
      <c r="I117" s="32"/>
      <c r="J117" s="32"/>
    </row>
    <row r="118" spans="1:13">
      <c r="A118" s="4"/>
      <c r="B118" s="64" t="s">
        <v>166</v>
      </c>
      <c r="C118" s="64"/>
      <c r="D118" s="64"/>
      <c r="E118" s="33">
        <f>SUM(E115:E116)</f>
        <v>210</v>
      </c>
      <c r="F118" s="34">
        <f t="shared" ref="F118:J118" si="32">SUM(F115:F116)</f>
        <v>9.6900000000000013</v>
      </c>
      <c r="G118" s="34">
        <f t="shared" si="32"/>
        <v>10.38</v>
      </c>
      <c r="H118" s="34">
        <f t="shared" si="32"/>
        <v>54.809999999999995</v>
      </c>
      <c r="I118" s="34">
        <f t="shared" si="32"/>
        <v>342.3</v>
      </c>
      <c r="J118" s="34">
        <f t="shared" si="32"/>
        <v>4.0500000000000007</v>
      </c>
    </row>
    <row r="119" spans="1:13">
      <c r="A119" s="4"/>
      <c r="B119" s="77" t="s">
        <v>169</v>
      </c>
      <c r="C119" s="77"/>
      <c r="D119" s="77"/>
      <c r="E119" s="35">
        <f>E102+E103+E113+E118</f>
        <v>1137</v>
      </c>
      <c r="F119" s="37">
        <f t="shared" ref="F119:J119" si="33">F102+F103+F113+F118</f>
        <v>43.62433333333334</v>
      </c>
      <c r="G119" s="37">
        <f t="shared" si="33"/>
        <v>51.083666666666666</v>
      </c>
      <c r="H119" s="37">
        <f t="shared" si="33"/>
        <v>131.89666666666668</v>
      </c>
      <c r="I119" s="37">
        <f t="shared" si="33"/>
        <v>1112.4133333333334</v>
      </c>
      <c r="J119" s="37">
        <f t="shared" si="33"/>
        <v>69.448999999999998</v>
      </c>
    </row>
    <row r="120" spans="1:13">
      <c r="A120" s="4" t="s">
        <v>54</v>
      </c>
      <c r="B120" s="59"/>
      <c r="C120" s="59"/>
      <c r="D120" s="59"/>
      <c r="E120" s="30"/>
      <c r="F120" s="32"/>
      <c r="G120" s="32"/>
      <c r="H120" s="32"/>
      <c r="I120" s="32">
        <f>I119*100/1963</f>
        <v>56.669043980302263</v>
      </c>
      <c r="J120" s="32"/>
    </row>
    <row r="121" spans="1:13">
      <c r="A121" s="68" t="s">
        <v>37</v>
      </c>
      <c r="B121" s="68"/>
      <c r="C121" s="68"/>
      <c r="D121" s="68"/>
      <c r="E121" s="68"/>
      <c r="F121" s="68"/>
      <c r="G121" s="68"/>
      <c r="H121" s="68"/>
      <c r="I121" s="68"/>
      <c r="J121" s="68"/>
    </row>
    <row r="122" spans="1:13">
      <c r="A122" s="45"/>
      <c r="B122" s="73" t="s">
        <v>8</v>
      </c>
      <c r="C122" s="74"/>
      <c r="D122" s="75"/>
      <c r="E122" s="30"/>
      <c r="F122" s="32"/>
      <c r="G122" s="32"/>
      <c r="H122" s="32"/>
      <c r="I122" s="32"/>
      <c r="J122" s="32"/>
    </row>
    <row r="123" spans="1:13">
      <c r="A123" s="4" t="s">
        <v>127</v>
      </c>
      <c r="B123" s="59" t="s">
        <v>94</v>
      </c>
      <c r="C123" s="59"/>
      <c r="D123" s="59"/>
      <c r="E123" s="30">
        <v>150</v>
      </c>
      <c r="F123" s="32">
        <f>2.5/100*E123</f>
        <v>3.75</v>
      </c>
      <c r="G123" s="32">
        <f>2.9/100*E123</f>
        <v>4.3499999999999996</v>
      </c>
      <c r="H123" s="32">
        <f>13.2/100*E123</f>
        <v>19.8</v>
      </c>
      <c r="I123" s="32">
        <f>88/100*E123</f>
        <v>132</v>
      </c>
      <c r="J123" s="32">
        <f>0.3/100*E123</f>
        <v>0.45</v>
      </c>
    </row>
    <row r="124" spans="1:13">
      <c r="A124" s="4"/>
      <c r="B124" s="59" t="s">
        <v>45</v>
      </c>
      <c r="C124" s="59"/>
      <c r="D124" s="59"/>
      <c r="E124" s="30"/>
      <c r="F124" s="32"/>
      <c r="G124" s="32"/>
      <c r="H124" s="32"/>
      <c r="I124" s="32"/>
      <c r="J124" s="32"/>
    </row>
    <row r="125" spans="1:13">
      <c r="A125" s="4" t="s">
        <v>27</v>
      </c>
      <c r="B125" s="59" t="s">
        <v>26</v>
      </c>
      <c r="C125" s="59"/>
      <c r="D125" s="59"/>
      <c r="E125" s="30">
        <v>150</v>
      </c>
      <c r="F125" s="32">
        <f>1.9/100*E125</f>
        <v>2.85</v>
      </c>
      <c r="G125" s="32">
        <f>1.7/100*E125</f>
        <v>2.5500000000000003</v>
      </c>
      <c r="H125" s="32">
        <f>12.3/100*E125</f>
        <v>18.450000000000003</v>
      </c>
      <c r="I125" s="32">
        <f>55.9/100*E125</f>
        <v>83.85</v>
      </c>
      <c r="J125" s="32">
        <f>0.3/100*E125</f>
        <v>0.45</v>
      </c>
      <c r="M125" s="44"/>
    </row>
    <row r="126" spans="1:13">
      <c r="A126" s="21" t="s">
        <v>11</v>
      </c>
      <c r="B126" s="59" t="s">
        <v>177</v>
      </c>
      <c r="C126" s="59"/>
      <c r="D126" s="59"/>
      <c r="E126" s="30">
        <v>35</v>
      </c>
      <c r="F126" s="32">
        <f>1.94/30*E126</f>
        <v>2.2633333333333332</v>
      </c>
      <c r="G126" s="32">
        <f>3.85/30*E126</f>
        <v>4.4916666666666663</v>
      </c>
      <c r="H126" s="32">
        <f>11.74/30*E126</f>
        <v>13.696666666666667</v>
      </c>
      <c r="I126" s="32">
        <f>90.44/30*E126</f>
        <v>105.51333333333332</v>
      </c>
      <c r="J126" s="32">
        <f>0/30*E126</f>
        <v>0</v>
      </c>
    </row>
    <row r="127" spans="1:13">
      <c r="A127" s="21"/>
      <c r="B127" s="69" t="s">
        <v>39</v>
      </c>
      <c r="C127" s="70"/>
      <c r="D127" s="71"/>
      <c r="E127" s="30">
        <v>5</v>
      </c>
      <c r="F127" s="32"/>
      <c r="G127" s="32"/>
      <c r="H127" s="32"/>
      <c r="I127" s="32"/>
      <c r="J127" s="32"/>
    </row>
    <row r="128" spans="1:13">
      <c r="A128" s="4"/>
      <c r="B128" s="64" t="s">
        <v>166</v>
      </c>
      <c r="C128" s="64"/>
      <c r="D128" s="64"/>
      <c r="E128" s="33">
        <f>E123+E125+E126+E127</f>
        <v>340</v>
      </c>
      <c r="F128" s="34">
        <f>SUM(F123:F126)</f>
        <v>8.8633333333333333</v>
      </c>
      <c r="G128" s="34">
        <f t="shared" ref="G128:J128" si="34">SUM(G123:G126)</f>
        <v>11.391666666666666</v>
      </c>
      <c r="H128" s="34">
        <f t="shared" si="34"/>
        <v>51.946666666666665</v>
      </c>
      <c r="I128" s="34">
        <f t="shared" si="34"/>
        <v>321.36333333333334</v>
      </c>
      <c r="J128" s="34">
        <f t="shared" si="34"/>
        <v>0.9</v>
      </c>
    </row>
    <row r="129" spans="1:10">
      <c r="A129" s="21" t="s">
        <v>13</v>
      </c>
      <c r="B129" s="22" t="s">
        <v>167</v>
      </c>
      <c r="C129" s="23"/>
      <c r="D129" s="23"/>
      <c r="E129" s="30">
        <v>100</v>
      </c>
      <c r="F129" s="32">
        <v>0.4</v>
      </c>
      <c r="G129" s="32">
        <v>0.4</v>
      </c>
      <c r="H129" s="32">
        <v>9.8000000000000007</v>
      </c>
      <c r="I129" s="32">
        <v>42.7</v>
      </c>
      <c r="J129" s="32">
        <v>10</v>
      </c>
    </row>
    <row r="130" spans="1:10">
      <c r="A130" s="4"/>
      <c r="B130" s="68" t="s">
        <v>12</v>
      </c>
      <c r="C130" s="68"/>
      <c r="D130" s="68"/>
      <c r="E130" s="30"/>
      <c r="F130" s="32"/>
      <c r="G130" s="32"/>
      <c r="H130" s="32"/>
      <c r="I130" s="32"/>
      <c r="J130" s="32"/>
    </row>
    <row r="131" spans="1:10">
      <c r="A131" s="4" t="s">
        <v>144</v>
      </c>
      <c r="B131" s="59" t="s">
        <v>95</v>
      </c>
      <c r="C131" s="59"/>
      <c r="D131" s="59"/>
      <c r="E131" s="30">
        <v>40</v>
      </c>
      <c r="F131" s="32">
        <f>1.3/100*E131</f>
        <v>0.52</v>
      </c>
      <c r="G131" s="32">
        <f>5/100*E131</f>
        <v>2</v>
      </c>
      <c r="H131" s="32">
        <f>22/100*E131</f>
        <v>8.8000000000000007</v>
      </c>
      <c r="I131" s="32">
        <f>125/100*E131</f>
        <v>50</v>
      </c>
      <c r="J131" s="32">
        <f>3.7/100*E131</f>
        <v>1.4800000000000002</v>
      </c>
    </row>
    <row r="132" spans="1:10">
      <c r="A132" s="4" t="s">
        <v>172</v>
      </c>
      <c r="B132" s="59" t="s">
        <v>173</v>
      </c>
      <c r="C132" s="59"/>
      <c r="D132" s="59"/>
      <c r="E132" s="30">
        <v>150</v>
      </c>
      <c r="F132" s="32">
        <f>0.8/100*E132</f>
        <v>1.2</v>
      </c>
      <c r="G132" s="32">
        <f>2.6/100*E132</f>
        <v>3.9000000000000004</v>
      </c>
      <c r="H132" s="32">
        <f>4.9/100*E132</f>
        <v>7.3500000000000005</v>
      </c>
      <c r="I132" s="32">
        <f>44/100*E132</f>
        <v>66</v>
      </c>
      <c r="J132" s="32">
        <f>3.4/100*E132</f>
        <v>5.1000000000000005</v>
      </c>
    </row>
    <row r="133" spans="1:10">
      <c r="A133" s="4"/>
      <c r="B133" s="69" t="s">
        <v>174</v>
      </c>
      <c r="C133" s="70"/>
      <c r="D133" s="71"/>
      <c r="E133" s="30">
        <v>7</v>
      </c>
      <c r="F133" s="32"/>
      <c r="G133" s="32"/>
      <c r="H133" s="32"/>
      <c r="I133" s="32"/>
      <c r="J133" s="32"/>
    </row>
    <row r="134" spans="1:10">
      <c r="A134" s="4" t="s">
        <v>129</v>
      </c>
      <c r="B134" s="59" t="s">
        <v>96</v>
      </c>
      <c r="C134" s="59"/>
      <c r="D134" s="59"/>
      <c r="E134" s="30">
        <v>100</v>
      </c>
      <c r="F134" s="32">
        <f>2.3/100*E134</f>
        <v>2.2999999999999998</v>
      </c>
      <c r="G134" s="32">
        <f>1.9/100*E134</f>
        <v>1.9</v>
      </c>
      <c r="H134" s="32">
        <f>17.4/100*E134</f>
        <v>17.399999999999999</v>
      </c>
      <c r="I134" s="32">
        <f>81.9/100*E134</f>
        <v>81.900000000000006</v>
      </c>
      <c r="J134" s="32">
        <f>31.3/100*E134</f>
        <v>31.3</v>
      </c>
    </row>
    <row r="135" spans="1:10">
      <c r="A135" s="4" t="s">
        <v>145</v>
      </c>
      <c r="B135" s="59" t="s">
        <v>97</v>
      </c>
      <c r="C135" s="59"/>
      <c r="D135" s="59"/>
      <c r="E135" s="30">
        <v>60</v>
      </c>
      <c r="F135" s="32">
        <f>22.5/100*E135</f>
        <v>13.5</v>
      </c>
      <c r="G135" s="32">
        <f>17/100*E135</f>
        <v>10.200000000000001</v>
      </c>
      <c r="H135" s="32">
        <f>2.8/100*E135</f>
        <v>1.6799999999999997</v>
      </c>
      <c r="I135" s="32">
        <f>254/100*E135</f>
        <v>152.4</v>
      </c>
      <c r="J135" s="32">
        <f>0.1/100*E135</f>
        <v>0.06</v>
      </c>
    </row>
    <row r="136" spans="1:10">
      <c r="A136" s="4" t="s">
        <v>24</v>
      </c>
      <c r="B136" s="76" t="s">
        <v>25</v>
      </c>
      <c r="C136" s="76"/>
      <c r="D136" s="76"/>
      <c r="E136" s="30">
        <v>150</v>
      </c>
      <c r="F136" s="32">
        <f>0.2/100*E136</f>
        <v>0.3</v>
      </c>
      <c r="G136" s="32">
        <f>0/100*E136</f>
        <v>0</v>
      </c>
      <c r="H136" s="32">
        <f>9.6/100*E136</f>
        <v>14.4</v>
      </c>
      <c r="I136" s="32">
        <f>36/100*E136</f>
        <v>54</v>
      </c>
      <c r="J136" s="32">
        <f>25/100*E136</f>
        <v>37.5</v>
      </c>
    </row>
    <row r="137" spans="1:10">
      <c r="A137" s="21"/>
      <c r="B137" s="59" t="s">
        <v>15</v>
      </c>
      <c r="C137" s="59"/>
      <c r="D137" s="59"/>
      <c r="E137" s="30">
        <v>10</v>
      </c>
      <c r="F137" s="32">
        <f t="shared" ref="F137" si="35">0.9/100*E137</f>
        <v>9.0000000000000011E-2</v>
      </c>
      <c r="G137" s="32">
        <f t="shared" ref="G137" si="36">2.2/100*E137</f>
        <v>0.22000000000000003</v>
      </c>
      <c r="H137" s="32">
        <f t="shared" ref="H137" si="37">6.9/100*E137</f>
        <v>0.69000000000000006</v>
      </c>
      <c r="I137" s="32">
        <f t="shared" ref="I137" si="38">46/100*E137</f>
        <v>4.6000000000000005</v>
      </c>
      <c r="J137" s="32">
        <f t="shared" ref="J137" si="39">2.7/100*E137</f>
        <v>0.27</v>
      </c>
    </row>
    <row r="138" spans="1:10">
      <c r="A138" s="21"/>
      <c r="B138" s="59" t="s">
        <v>16</v>
      </c>
      <c r="C138" s="59"/>
      <c r="D138" s="59"/>
      <c r="E138" s="30">
        <v>30</v>
      </c>
      <c r="F138" s="32">
        <f>2.64/40*E138</f>
        <v>1.98</v>
      </c>
      <c r="G138" s="32">
        <f>0/40*E138</f>
        <v>0</v>
      </c>
      <c r="H138" s="32">
        <f>0.48/40*E138</f>
        <v>0.36</v>
      </c>
      <c r="I138" s="32">
        <f>13.36/40*E138</f>
        <v>10.02</v>
      </c>
      <c r="J138" s="32">
        <f>0/40*E138</f>
        <v>0</v>
      </c>
    </row>
    <row r="139" spans="1:10">
      <c r="A139" s="4"/>
      <c r="B139" s="64" t="s">
        <v>166</v>
      </c>
      <c r="C139" s="64"/>
      <c r="D139" s="64"/>
      <c r="E139" s="33">
        <f>SUM(E131:E138)</f>
        <v>547</v>
      </c>
      <c r="F139" s="34">
        <f t="shared" ref="F139:J139" si="40">SUM(F131:F138)</f>
        <v>19.89</v>
      </c>
      <c r="G139" s="34">
        <f t="shared" si="40"/>
        <v>18.22</v>
      </c>
      <c r="H139" s="34">
        <f t="shared" si="40"/>
        <v>50.679999999999993</v>
      </c>
      <c r="I139" s="34">
        <f t="shared" si="40"/>
        <v>418.92</v>
      </c>
      <c r="J139" s="34">
        <f t="shared" si="40"/>
        <v>75.709999999999994</v>
      </c>
    </row>
    <row r="140" spans="1:10">
      <c r="A140" s="4"/>
      <c r="B140" s="73" t="s">
        <v>17</v>
      </c>
      <c r="C140" s="74"/>
      <c r="D140" s="75"/>
      <c r="E140" s="30"/>
      <c r="F140" s="32"/>
      <c r="G140" s="32"/>
      <c r="H140" s="32"/>
      <c r="I140" s="32"/>
      <c r="J140" s="32"/>
    </row>
    <row r="141" spans="1:10">
      <c r="A141" s="4"/>
      <c r="B141" s="59" t="s">
        <v>98</v>
      </c>
      <c r="C141" s="59"/>
      <c r="D141" s="59"/>
      <c r="E141" s="30">
        <v>60</v>
      </c>
      <c r="F141" s="32">
        <v>1.9</v>
      </c>
      <c r="G141" s="32">
        <v>3.5</v>
      </c>
      <c r="H141" s="32">
        <v>22</v>
      </c>
      <c r="I141" s="32">
        <v>132</v>
      </c>
      <c r="J141" s="32">
        <v>0</v>
      </c>
    </row>
    <row r="142" spans="1:10">
      <c r="A142" s="4"/>
      <c r="B142" s="59" t="s">
        <v>18</v>
      </c>
      <c r="C142" s="59"/>
      <c r="D142" s="59"/>
      <c r="E142" s="30">
        <v>150</v>
      </c>
      <c r="F142" s="32">
        <f>2.9/100*E142</f>
        <v>4.3499999999999996</v>
      </c>
      <c r="G142" s="32">
        <f>3/100*E142</f>
        <v>4.5</v>
      </c>
      <c r="H142" s="32">
        <f>4.5/100*E142</f>
        <v>6.75</v>
      </c>
      <c r="I142" s="32">
        <f>56/100*E142</f>
        <v>84.000000000000014</v>
      </c>
      <c r="J142" s="32">
        <f>0.5/100*E142</f>
        <v>0.75</v>
      </c>
    </row>
    <row r="143" spans="1:10">
      <c r="A143" s="4"/>
      <c r="B143" s="64" t="s">
        <v>166</v>
      </c>
      <c r="C143" s="64"/>
      <c r="D143" s="64"/>
      <c r="E143" s="33">
        <f>SUM(E141:E142)</f>
        <v>210</v>
      </c>
      <c r="F143" s="34">
        <f t="shared" ref="F143:J143" si="41">SUM(F141:F142)</f>
        <v>6.25</v>
      </c>
      <c r="G143" s="34">
        <f t="shared" si="41"/>
        <v>8</v>
      </c>
      <c r="H143" s="34">
        <f t="shared" si="41"/>
        <v>28.75</v>
      </c>
      <c r="I143" s="34">
        <f t="shared" si="41"/>
        <v>216</v>
      </c>
      <c r="J143" s="34">
        <f t="shared" si="41"/>
        <v>0.75</v>
      </c>
    </row>
    <row r="144" spans="1:10">
      <c r="A144" s="4"/>
      <c r="B144" s="77" t="s">
        <v>169</v>
      </c>
      <c r="C144" s="77"/>
      <c r="D144" s="77"/>
      <c r="E144" s="35">
        <f t="shared" ref="E144:J144" si="42">E128+E129+E139+E143</f>
        <v>1197</v>
      </c>
      <c r="F144" s="37">
        <f t="shared" si="42"/>
        <v>35.403333333333336</v>
      </c>
      <c r="G144" s="37">
        <f t="shared" si="42"/>
        <v>38.011666666666663</v>
      </c>
      <c r="H144" s="37">
        <f t="shared" si="42"/>
        <v>141.17666666666668</v>
      </c>
      <c r="I144" s="37">
        <f t="shared" si="42"/>
        <v>998.98333333333335</v>
      </c>
      <c r="J144" s="37">
        <f t="shared" si="42"/>
        <v>87.36</v>
      </c>
    </row>
    <row r="145" spans="1:10">
      <c r="A145" s="4" t="s">
        <v>54</v>
      </c>
      <c r="B145" s="59"/>
      <c r="C145" s="59"/>
      <c r="D145" s="59"/>
      <c r="E145" s="30"/>
      <c r="F145" s="32"/>
      <c r="G145" s="32"/>
      <c r="H145" s="32"/>
      <c r="I145" s="32">
        <f>I144*100/1963</f>
        <v>50.890643572762777</v>
      </c>
      <c r="J145" s="32"/>
    </row>
    <row r="146" spans="1:10">
      <c r="A146" s="68" t="s">
        <v>55</v>
      </c>
      <c r="B146" s="68"/>
      <c r="C146" s="68"/>
      <c r="D146" s="68"/>
      <c r="E146" s="68"/>
      <c r="F146" s="68"/>
      <c r="G146" s="68"/>
      <c r="H146" s="68"/>
      <c r="I146" s="68"/>
      <c r="J146" s="68"/>
    </row>
    <row r="147" spans="1:10">
      <c r="A147" s="4" t="s">
        <v>130</v>
      </c>
      <c r="B147" s="59" t="s">
        <v>99</v>
      </c>
      <c r="C147" s="59"/>
      <c r="D147" s="59"/>
      <c r="E147" s="30">
        <v>150</v>
      </c>
      <c r="F147" s="32">
        <f>3/100*E147</f>
        <v>4.5</v>
      </c>
      <c r="G147" s="32">
        <f>2.6/100*E147</f>
        <v>3.9000000000000004</v>
      </c>
      <c r="H147" s="32">
        <f>16.8/100*E147</f>
        <v>25.200000000000003</v>
      </c>
      <c r="I147" s="32">
        <f>98/100*E147</f>
        <v>147</v>
      </c>
      <c r="J147" s="32">
        <f>0.2/100*E147</f>
        <v>0.3</v>
      </c>
    </row>
    <row r="148" spans="1:10">
      <c r="A148" s="4"/>
      <c r="B148" s="59" t="s">
        <v>39</v>
      </c>
      <c r="C148" s="59"/>
      <c r="D148" s="59"/>
      <c r="E148" s="30"/>
      <c r="F148" s="32"/>
      <c r="G148" s="32"/>
      <c r="H148" s="32"/>
      <c r="I148" s="32"/>
      <c r="J148" s="32"/>
    </row>
    <row r="149" spans="1:10">
      <c r="A149" s="21" t="s">
        <v>47</v>
      </c>
      <c r="B149" s="69" t="s">
        <v>178</v>
      </c>
      <c r="C149" s="70"/>
      <c r="D149" s="71"/>
      <c r="E149" s="30">
        <v>150</v>
      </c>
      <c r="F149" s="32">
        <f>0/100*E149</f>
        <v>0</v>
      </c>
      <c r="G149" s="32">
        <f>0/100*E149</f>
        <v>0</v>
      </c>
      <c r="H149" s="32">
        <f>4.6/100*E149</f>
        <v>6.8999999999999995</v>
      </c>
      <c r="I149" s="32">
        <f>18/100*E149</f>
        <v>27</v>
      </c>
      <c r="J149" s="32">
        <f>0.4/100*E149</f>
        <v>0.6</v>
      </c>
    </row>
    <row r="150" spans="1:10">
      <c r="A150" s="21"/>
      <c r="B150" s="69" t="s">
        <v>191</v>
      </c>
      <c r="C150" s="70"/>
      <c r="D150" s="71"/>
      <c r="E150" s="30">
        <v>5</v>
      </c>
      <c r="F150" s="32"/>
      <c r="G150" s="32"/>
      <c r="H150" s="32"/>
      <c r="I150" s="32"/>
      <c r="J150" s="32"/>
    </row>
    <row r="151" spans="1:10">
      <c r="A151" s="21" t="s">
        <v>11</v>
      </c>
      <c r="B151" s="59" t="s">
        <v>177</v>
      </c>
      <c r="C151" s="59"/>
      <c r="D151" s="59"/>
      <c r="E151" s="30">
        <v>35</v>
      </c>
      <c r="F151" s="32">
        <f>1.94/30*E151</f>
        <v>2.2633333333333332</v>
      </c>
      <c r="G151" s="32">
        <f>3.85/30*E151</f>
        <v>4.4916666666666663</v>
      </c>
      <c r="H151" s="32">
        <f>11.74/30*E151</f>
        <v>13.696666666666667</v>
      </c>
      <c r="I151" s="32">
        <f>90.44/30*E151</f>
        <v>105.51333333333332</v>
      </c>
      <c r="J151" s="32">
        <f>0/30*E151</f>
        <v>0</v>
      </c>
    </row>
    <row r="152" spans="1:10">
      <c r="A152" s="21"/>
      <c r="B152" s="69" t="s">
        <v>39</v>
      </c>
      <c r="C152" s="70"/>
      <c r="D152" s="71"/>
      <c r="E152" s="30">
        <v>5</v>
      </c>
      <c r="F152" s="32"/>
      <c r="G152" s="32"/>
      <c r="H152" s="32"/>
      <c r="I152" s="32"/>
      <c r="J152" s="32"/>
    </row>
    <row r="153" spans="1:10">
      <c r="A153" s="4" t="s">
        <v>57</v>
      </c>
      <c r="B153" s="59" t="s">
        <v>53</v>
      </c>
      <c r="C153" s="59"/>
      <c r="D153" s="59"/>
      <c r="E153" s="30">
        <v>7</v>
      </c>
      <c r="F153" s="32">
        <f>2.63/10*E153</f>
        <v>1.8410000000000002</v>
      </c>
      <c r="G153" s="32">
        <f>2.66/10*E153</f>
        <v>1.8620000000000001</v>
      </c>
      <c r="H153" s="32">
        <f>0/10*E153</f>
        <v>0</v>
      </c>
      <c r="I153" s="32">
        <f>105/30*E153</f>
        <v>24.5</v>
      </c>
      <c r="J153" s="32">
        <f>0.07/10*E153</f>
        <v>4.9000000000000009E-2</v>
      </c>
    </row>
    <row r="154" spans="1:10">
      <c r="A154" s="4"/>
      <c r="B154" s="25" t="s">
        <v>166</v>
      </c>
      <c r="C154" s="26"/>
      <c r="D154" s="26"/>
      <c r="E154" s="33">
        <f>E147+E149+E150+E151+E152+E153</f>
        <v>352</v>
      </c>
      <c r="F154" s="34">
        <f>SUM(F147:F153)</f>
        <v>8.6043333333333329</v>
      </c>
      <c r="G154" s="34">
        <f t="shared" ref="G154:J154" si="43">SUM(G147:G153)</f>
        <v>10.253666666666666</v>
      </c>
      <c r="H154" s="34">
        <f t="shared" si="43"/>
        <v>45.796666666666667</v>
      </c>
      <c r="I154" s="34">
        <f t="shared" si="43"/>
        <v>304.01333333333332</v>
      </c>
      <c r="J154" s="34">
        <f t="shared" si="43"/>
        <v>0.94899999999999995</v>
      </c>
    </row>
    <row r="155" spans="1:10">
      <c r="A155" s="21" t="s">
        <v>13</v>
      </c>
      <c r="B155" s="22" t="s">
        <v>167</v>
      </c>
      <c r="C155" s="23"/>
      <c r="D155" s="23"/>
      <c r="E155" s="30">
        <v>100</v>
      </c>
      <c r="F155" s="32">
        <v>0.4</v>
      </c>
      <c r="G155" s="32">
        <v>0.4</v>
      </c>
      <c r="H155" s="32">
        <v>9.8000000000000007</v>
      </c>
      <c r="I155" s="32">
        <v>42.7</v>
      </c>
      <c r="J155" s="32">
        <v>10</v>
      </c>
    </row>
    <row r="156" spans="1:10">
      <c r="A156" s="45"/>
      <c r="B156" s="68" t="s">
        <v>12</v>
      </c>
      <c r="C156" s="68"/>
      <c r="D156" s="68"/>
      <c r="E156" s="30"/>
      <c r="F156" s="31"/>
      <c r="G156" s="31"/>
      <c r="H156" s="31"/>
      <c r="I156" s="31"/>
      <c r="J156" s="31"/>
    </row>
    <row r="157" spans="1:10">
      <c r="A157" s="45" t="s">
        <v>131</v>
      </c>
      <c r="B157" s="59" t="s">
        <v>100</v>
      </c>
      <c r="C157" s="59"/>
      <c r="D157" s="59"/>
      <c r="E157" s="30">
        <v>40</v>
      </c>
      <c r="F157" s="32">
        <f>1.1/100*E157</f>
        <v>0.44000000000000006</v>
      </c>
      <c r="G157" s="32">
        <f>6.6/100*E157</f>
        <v>2.64</v>
      </c>
      <c r="H157" s="32">
        <f>13.1/100*E157</f>
        <v>5.24</v>
      </c>
      <c r="I157" s="32">
        <f>107/100*E157</f>
        <v>42.800000000000004</v>
      </c>
      <c r="J157" s="32">
        <f>4.4/100*E157</f>
        <v>1.7600000000000002</v>
      </c>
    </row>
    <row r="158" spans="1:10">
      <c r="A158" s="45" t="s">
        <v>132</v>
      </c>
      <c r="B158" s="59" t="s">
        <v>101</v>
      </c>
      <c r="C158" s="59"/>
      <c r="D158" s="59"/>
      <c r="E158" s="30">
        <v>150</v>
      </c>
      <c r="F158" s="32">
        <f>0.9/100*E158</f>
        <v>1.35</v>
      </c>
      <c r="G158" s="32">
        <f>2.2/100*E158</f>
        <v>3.3000000000000003</v>
      </c>
      <c r="H158" s="32">
        <f>5.1/100*E158</f>
        <v>7.6499999999999995</v>
      </c>
      <c r="I158" s="32">
        <f>16.7/100*E158</f>
        <v>25.049999999999997</v>
      </c>
      <c r="J158" s="32">
        <f>4.3/100*E158</f>
        <v>6.4499999999999993</v>
      </c>
    </row>
    <row r="159" spans="1:10">
      <c r="A159" s="45"/>
      <c r="B159" s="59" t="s">
        <v>102</v>
      </c>
      <c r="C159" s="59"/>
      <c r="D159" s="59"/>
      <c r="E159" s="30">
        <v>7</v>
      </c>
      <c r="F159" s="32"/>
      <c r="G159" s="32"/>
      <c r="H159" s="32"/>
      <c r="I159" s="32"/>
      <c r="J159" s="32"/>
    </row>
    <row r="160" spans="1:10">
      <c r="A160" s="45" t="s">
        <v>133</v>
      </c>
      <c r="B160" s="59" t="s">
        <v>192</v>
      </c>
      <c r="C160" s="59"/>
      <c r="D160" s="59"/>
      <c r="E160" s="30">
        <v>100</v>
      </c>
      <c r="F160" s="32">
        <f>3.5/100*E160</f>
        <v>3.5000000000000004</v>
      </c>
      <c r="G160" s="32">
        <f>2.5/100*E160</f>
        <v>2.5</v>
      </c>
      <c r="H160" s="32">
        <f>22.7/100*E160</f>
        <v>22.7</v>
      </c>
      <c r="I160" s="32">
        <f>125/100*E160</f>
        <v>125</v>
      </c>
      <c r="J160" s="32">
        <f>0/100*E160</f>
        <v>0</v>
      </c>
    </row>
    <row r="161" spans="1:10">
      <c r="A161" s="45" t="s">
        <v>146</v>
      </c>
      <c r="B161" s="59" t="s">
        <v>103</v>
      </c>
      <c r="C161" s="59"/>
      <c r="D161" s="59"/>
      <c r="E161" s="30">
        <v>80</v>
      </c>
      <c r="F161" s="32">
        <f>14.9/100*E161</f>
        <v>11.92</v>
      </c>
      <c r="G161" s="32">
        <f>15.7/100*E161</f>
        <v>12.56</v>
      </c>
      <c r="H161" s="32">
        <f>5.4/100*E161</f>
        <v>4.32</v>
      </c>
      <c r="I161" s="32">
        <f>220/100*E161</f>
        <v>176</v>
      </c>
      <c r="J161" s="32">
        <f>0.5/100*E161</f>
        <v>0.4</v>
      </c>
    </row>
    <row r="162" spans="1:10">
      <c r="A162" s="45" t="s">
        <v>24</v>
      </c>
      <c r="B162" s="59" t="s">
        <v>104</v>
      </c>
      <c r="C162" s="59"/>
      <c r="D162" s="59"/>
      <c r="E162" s="30">
        <v>150</v>
      </c>
      <c r="F162" s="32">
        <f>0.2/100*E162</f>
        <v>0.3</v>
      </c>
      <c r="G162" s="32">
        <f>0/100*E162</f>
        <v>0</v>
      </c>
      <c r="H162" s="32">
        <f>9.6/100*E162</f>
        <v>14.4</v>
      </c>
      <c r="I162" s="32">
        <f>36/100*E162</f>
        <v>54</v>
      </c>
      <c r="J162" s="32">
        <f>25/100*E162</f>
        <v>37.5</v>
      </c>
    </row>
    <row r="163" spans="1:10">
      <c r="A163" s="45"/>
      <c r="B163" s="59" t="s">
        <v>105</v>
      </c>
      <c r="C163" s="59"/>
      <c r="D163" s="59"/>
      <c r="E163" s="30">
        <v>10</v>
      </c>
      <c r="F163" s="32">
        <f t="shared" ref="F163" si="44">0.9/100*E163</f>
        <v>9.0000000000000011E-2</v>
      </c>
      <c r="G163" s="32">
        <f t="shared" ref="G163" si="45">2.2/100*E163</f>
        <v>0.22000000000000003</v>
      </c>
      <c r="H163" s="32">
        <f t="shared" ref="H163" si="46">6.9/100*E163</f>
        <v>0.69000000000000006</v>
      </c>
      <c r="I163" s="32">
        <f t="shared" ref="I163" si="47">46/100*E163</f>
        <v>4.6000000000000005</v>
      </c>
      <c r="J163" s="32">
        <f t="shared" ref="J163" si="48">2.7/100*E163</f>
        <v>0.27</v>
      </c>
    </row>
    <row r="164" spans="1:10">
      <c r="A164" s="45"/>
      <c r="B164" s="59" t="s">
        <v>16</v>
      </c>
      <c r="C164" s="59"/>
      <c r="D164" s="59"/>
      <c r="E164" s="30">
        <v>30</v>
      </c>
      <c r="F164" s="32">
        <f>2.64/40*E164</f>
        <v>1.98</v>
      </c>
      <c r="G164" s="32">
        <f>0/40*E164</f>
        <v>0</v>
      </c>
      <c r="H164" s="32">
        <f>0.48/40*E164</f>
        <v>0.36</v>
      </c>
      <c r="I164" s="32">
        <f>13.36/40*E164</f>
        <v>10.02</v>
      </c>
      <c r="J164" s="32">
        <f>0/40*E164</f>
        <v>0</v>
      </c>
    </row>
    <row r="165" spans="1:10">
      <c r="A165" s="45"/>
      <c r="B165" s="64" t="s">
        <v>166</v>
      </c>
      <c r="C165" s="64"/>
      <c r="D165" s="64"/>
      <c r="E165" s="33">
        <f>SUM(E157:E164)</f>
        <v>567</v>
      </c>
      <c r="F165" s="34">
        <f t="shared" ref="F165:J165" si="49">SUM(F157:F164)</f>
        <v>19.580000000000002</v>
      </c>
      <c r="G165" s="34">
        <f t="shared" si="49"/>
        <v>21.22</v>
      </c>
      <c r="H165" s="34">
        <f t="shared" si="49"/>
        <v>55.36</v>
      </c>
      <c r="I165" s="34">
        <f t="shared" si="49"/>
        <v>437.47</v>
      </c>
      <c r="J165" s="34">
        <f t="shared" si="49"/>
        <v>46.38</v>
      </c>
    </row>
    <row r="166" spans="1:10">
      <c r="A166" s="45"/>
      <c r="B166" s="73" t="s">
        <v>17</v>
      </c>
      <c r="C166" s="74"/>
      <c r="D166" s="75"/>
      <c r="E166" s="30"/>
      <c r="F166" s="32"/>
      <c r="G166" s="32"/>
      <c r="H166" s="32"/>
      <c r="I166" s="32"/>
      <c r="J166" s="32"/>
    </row>
    <row r="167" spans="1:10">
      <c r="A167" s="45" t="s">
        <v>159</v>
      </c>
      <c r="B167" s="59" t="s">
        <v>106</v>
      </c>
      <c r="C167" s="59"/>
      <c r="D167" s="59"/>
      <c r="E167" s="30">
        <v>60</v>
      </c>
      <c r="F167" s="32">
        <f>8.8/100*E167</f>
        <v>5.28</v>
      </c>
      <c r="G167" s="32">
        <f>6.5/100*E167</f>
        <v>3.9000000000000004</v>
      </c>
      <c r="H167" s="32">
        <f>56.4/100*E167</f>
        <v>33.839999999999996</v>
      </c>
      <c r="I167" s="32">
        <f>213/100*E167</f>
        <v>127.8</v>
      </c>
      <c r="J167" s="32">
        <f>0.2/100*E167</f>
        <v>0.12</v>
      </c>
    </row>
    <row r="168" spans="1:10">
      <c r="A168" s="45"/>
      <c r="B168" s="59" t="s">
        <v>18</v>
      </c>
      <c r="C168" s="59"/>
      <c r="D168" s="59"/>
      <c r="E168" s="30">
        <v>150</v>
      </c>
      <c r="F168" s="32">
        <f>2.9/100*E168</f>
        <v>4.3499999999999996</v>
      </c>
      <c r="G168" s="32">
        <f>3/100*E168</f>
        <v>4.5</v>
      </c>
      <c r="H168" s="32">
        <f>4.5/100*E168</f>
        <v>6.75</v>
      </c>
      <c r="I168" s="32">
        <f>56/100*E168</f>
        <v>84.000000000000014</v>
      </c>
      <c r="J168" s="32">
        <f>0.5/100*E168</f>
        <v>0.75</v>
      </c>
    </row>
    <row r="169" spans="1:10">
      <c r="A169" s="45"/>
      <c r="B169" s="64" t="s">
        <v>166</v>
      </c>
      <c r="C169" s="64"/>
      <c r="D169" s="64"/>
      <c r="E169" s="33">
        <f>SUM(E167:E168)</f>
        <v>210</v>
      </c>
      <c r="F169" s="34">
        <f t="shared" ref="F169:J169" si="50">SUM(F167:F168)</f>
        <v>9.629999999999999</v>
      </c>
      <c r="G169" s="34">
        <f t="shared" si="50"/>
        <v>8.4</v>
      </c>
      <c r="H169" s="34">
        <f t="shared" si="50"/>
        <v>40.589999999999996</v>
      </c>
      <c r="I169" s="34">
        <f t="shared" si="50"/>
        <v>211.8</v>
      </c>
      <c r="J169" s="34">
        <f t="shared" si="50"/>
        <v>0.87</v>
      </c>
    </row>
    <row r="170" spans="1:10">
      <c r="A170" s="45"/>
      <c r="B170" s="77" t="s">
        <v>19</v>
      </c>
      <c r="C170" s="77"/>
      <c r="D170" s="77"/>
      <c r="E170" s="35">
        <f>E154+E165+E169+E155</f>
        <v>1229</v>
      </c>
      <c r="F170" s="37">
        <f t="shared" ref="F170:J170" si="51">F154+F165+F169+F155</f>
        <v>38.214333333333336</v>
      </c>
      <c r="G170" s="37">
        <f t="shared" si="51"/>
        <v>40.273666666666664</v>
      </c>
      <c r="H170" s="37">
        <f t="shared" si="51"/>
        <v>151.54666666666668</v>
      </c>
      <c r="I170" s="37">
        <f t="shared" si="51"/>
        <v>995.98333333333335</v>
      </c>
      <c r="J170" s="37">
        <f t="shared" si="51"/>
        <v>58.198999999999998</v>
      </c>
    </row>
    <row r="171" spans="1:10">
      <c r="A171" s="45" t="s">
        <v>54</v>
      </c>
      <c r="B171" s="59"/>
      <c r="C171" s="59"/>
      <c r="D171" s="59"/>
      <c r="E171" s="30"/>
      <c r="F171" s="32"/>
      <c r="G171" s="32"/>
      <c r="H171" s="32"/>
      <c r="I171" s="32">
        <f>I170*100/1963</f>
        <v>50.737816267617589</v>
      </c>
      <c r="J171" s="32"/>
    </row>
    <row r="172" spans="1:10">
      <c r="A172" s="68" t="s">
        <v>42</v>
      </c>
      <c r="B172" s="68"/>
      <c r="C172" s="68"/>
      <c r="D172" s="68"/>
      <c r="E172" s="68"/>
      <c r="F172" s="68"/>
      <c r="G172" s="68"/>
      <c r="H172" s="68"/>
      <c r="I172" s="68"/>
      <c r="J172" s="68"/>
    </row>
    <row r="173" spans="1:10">
      <c r="A173" s="45"/>
      <c r="B173" s="73" t="s">
        <v>8</v>
      </c>
      <c r="C173" s="74"/>
      <c r="D173" s="75"/>
      <c r="E173" s="30"/>
      <c r="F173" s="32"/>
      <c r="G173" s="32"/>
      <c r="H173" s="32"/>
      <c r="I173" s="32"/>
      <c r="J173" s="32"/>
    </row>
    <row r="174" spans="1:10">
      <c r="A174" s="4" t="s">
        <v>147</v>
      </c>
      <c r="B174" s="59" t="s">
        <v>107</v>
      </c>
      <c r="C174" s="59"/>
      <c r="D174" s="59"/>
      <c r="E174" s="30">
        <v>150</v>
      </c>
      <c r="F174" s="32">
        <f>3.3/100*E174</f>
        <v>4.95</v>
      </c>
      <c r="G174" s="32">
        <f>3/100*E174</f>
        <v>4.5</v>
      </c>
      <c r="H174" s="32">
        <f>16.3/100*E174</f>
        <v>24.45</v>
      </c>
      <c r="I174" s="32">
        <f>103/100*E174</f>
        <v>154.5</v>
      </c>
      <c r="J174" s="32">
        <f>0.2/100*E174</f>
        <v>0.3</v>
      </c>
    </row>
    <row r="175" spans="1:10">
      <c r="A175" s="4" t="s">
        <v>57</v>
      </c>
      <c r="B175" s="59" t="s">
        <v>53</v>
      </c>
      <c r="C175" s="59"/>
      <c r="D175" s="59"/>
      <c r="E175" s="30">
        <v>7</v>
      </c>
      <c r="F175" s="32">
        <f>2.63/10*E175</f>
        <v>1.8410000000000002</v>
      </c>
      <c r="G175" s="32">
        <f>2.66/10*E175</f>
        <v>1.8620000000000001</v>
      </c>
      <c r="H175" s="32">
        <f>0/10*E175</f>
        <v>0</v>
      </c>
      <c r="I175" s="32">
        <f>105/30*E175</f>
        <v>24.5</v>
      </c>
      <c r="J175" s="32">
        <f>0.07/10*E175</f>
        <v>4.9000000000000009E-2</v>
      </c>
    </row>
    <row r="176" spans="1:10">
      <c r="A176" s="4" t="s">
        <v>9</v>
      </c>
      <c r="B176" s="59" t="s">
        <v>196</v>
      </c>
      <c r="C176" s="59"/>
      <c r="D176" s="59"/>
      <c r="E176" s="30">
        <v>150</v>
      </c>
      <c r="F176" s="32">
        <f>1.5/100*E176</f>
        <v>2.25</v>
      </c>
      <c r="G176" s="32">
        <f>1.4/100*E176</f>
        <v>2.0999999999999996</v>
      </c>
      <c r="H176" s="32">
        <f>6.7/100*E176</f>
        <v>10.050000000000001</v>
      </c>
      <c r="I176" s="32">
        <f>45/100*E176</f>
        <v>67.5</v>
      </c>
      <c r="J176" s="32">
        <f>0.3/100*E176</f>
        <v>0.45</v>
      </c>
    </row>
    <row r="177" spans="1:10">
      <c r="A177" s="21" t="s">
        <v>11</v>
      </c>
      <c r="B177" s="59" t="s">
        <v>177</v>
      </c>
      <c r="C177" s="59"/>
      <c r="D177" s="59"/>
      <c r="E177" s="30">
        <v>35</v>
      </c>
      <c r="F177" s="32">
        <f>1.94/30*E177</f>
        <v>2.2633333333333332</v>
      </c>
      <c r="G177" s="32">
        <f>3.85/30*E177</f>
        <v>4.4916666666666663</v>
      </c>
      <c r="H177" s="32">
        <f>11.74/30*E177</f>
        <v>13.696666666666667</v>
      </c>
      <c r="I177" s="32">
        <f>90.44/30*E177</f>
        <v>105.51333333333332</v>
      </c>
      <c r="J177" s="32">
        <f>0/30*E177</f>
        <v>0</v>
      </c>
    </row>
    <row r="178" spans="1:10">
      <c r="A178" s="21"/>
      <c r="B178" s="69" t="s">
        <v>39</v>
      </c>
      <c r="C178" s="70"/>
      <c r="D178" s="71"/>
      <c r="E178" s="30">
        <v>5</v>
      </c>
      <c r="F178" s="32"/>
      <c r="G178" s="32"/>
      <c r="H178" s="32"/>
      <c r="I178" s="32"/>
      <c r="J178" s="32"/>
    </row>
    <row r="179" spans="1:10">
      <c r="A179" s="4"/>
      <c r="B179" s="64" t="s">
        <v>166</v>
      </c>
      <c r="C179" s="64"/>
      <c r="D179" s="64"/>
      <c r="E179" s="33">
        <f>E174+E175+E176+E177+E178</f>
        <v>347</v>
      </c>
      <c r="F179" s="34">
        <f>SUM(F174:F177)</f>
        <v>11.304333333333334</v>
      </c>
      <c r="G179" s="34">
        <f t="shared" ref="G179:J179" si="52">SUM(G174:G177)</f>
        <v>12.953666666666667</v>
      </c>
      <c r="H179" s="34">
        <f t="shared" si="52"/>
        <v>48.196666666666665</v>
      </c>
      <c r="I179" s="34">
        <f t="shared" si="52"/>
        <v>352.01333333333332</v>
      </c>
      <c r="J179" s="34">
        <f t="shared" si="52"/>
        <v>0.79899999999999993</v>
      </c>
    </row>
    <row r="180" spans="1:10">
      <c r="A180" s="21" t="s">
        <v>13</v>
      </c>
      <c r="B180" s="22" t="s">
        <v>167</v>
      </c>
      <c r="C180" s="23"/>
      <c r="D180" s="23"/>
      <c r="E180" s="30">
        <v>100</v>
      </c>
      <c r="F180" s="32">
        <v>0.4</v>
      </c>
      <c r="G180" s="32">
        <v>0.4</v>
      </c>
      <c r="H180" s="32">
        <v>9.8000000000000007</v>
      </c>
      <c r="I180" s="32">
        <v>42.7</v>
      </c>
      <c r="J180" s="32">
        <v>10</v>
      </c>
    </row>
    <row r="181" spans="1:10">
      <c r="A181" s="45"/>
      <c r="B181" s="68" t="s">
        <v>12</v>
      </c>
      <c r="C181" s="68"/>
      <c r="D181" s="68"/>
      <c r="E181" s="30"/>
      <c r="F181" s="32"/>
      <c r="G181" s="32"/>
      <c r="H181" s="32"/>
      <c r="I181" s="32"/>
      <c r="J181" s="32"/>
    </row>
    <row r="182" spans="1:10">
      <c r="A182" s="4" t="s">
        <v>158</v>
      </c>
      <c r="B182" s="59" t="s">
        <v>197</v>
      </c>
      <c r="C182" s="59"/>
      <c r="D182" s="59"/>
      <c r="E182" s="30">
        <v>40</v>
      </c>
      <c r="F182" s="32">
        <f>1.4/100*E182</f>
        <v>0.55999999999999994</v>
      </c>
      <c r="G182" s="32">
        <f>8.3/100*E182</f>
        <v>3.3200000000000003</v>
      </c>
      <c r="H182" s="32">
        <f>9/100*E182</f>
        <v>3.5999999999999996</v>
      </c>
      <c r="I182" s="32">
        <f>106/100*E182</f>
        <v>42.400000000000006</v>
      </c>
      <c r="J182" s="32">
        <f>1.9/100*E182</f>
        <v>0.76</v>
      </c>
    </row>
    <row r="183" spans="1:10">
      <c r="A183" s="4" t="s">
        <v>157</v>
      </c>
      <c r="B183" s="59" t="s">
        <v>108</v>
      </c>
      <c r="C183" s="59"/>
      <c r="D183" s="59"/>
      <c r="E183" s="30">
        <v>150</v>
      </c>
      <c r="F183" s="32">
        <f>1.3/100*E183</f>
        <v>1.9500000000000002</v>
      </c>
      <c r="G183" s="32">
        <f>2/100*E183</f>
        <v>3</v>
      </c>
      <c r="H183" s="32">
        <f>4.9/100*E183</f>
        <v>7.3500000000000005</v>
      </c>
      <c r="I183" s="32">
        <f>40/100*E183</f>
        <v>60</v>
      </c>
      <c r="J183" s="32">
        <f>0.7/100*E183</f>
        <v>1.0499999999999998</v>
      </c>
    </row>
    <row r="184" spans="1:10">
      <c r="A184" s="4"/>
      <c r="B184" s="59" t="s">
        <v>14</v>
      </c>
      <c r="C184" s="59"/>
      <c r="D184" s="59"/>
      <c r="E184" s="30">
        <v>7</v>
      </c>
      <c r="F184" s="32">
        <f>0.9/10*E184</f>
        <v>0.63</v>
      </c>
      <c r="G184" s="32">
        <f>0.1/10*E184</f>
        <v>7.0000000000000007E-2</v>
      </c>
      <c r="H184" s="32">
        <f>5.7/10*E184</f>
        <v>3.99</v>
      </c>
      <c r="I184" s="32">
        <f>26/10*E184</f>
        <v>18.2</v>
      </c>
      <c r="J184" s="32">
        <f>0.9/100*E184</f>
        <v>6.3E-2</v>
      </c>
    </row>
    <row r="185" spans="1:10">
      <c r="A185" s="4" t="s">
        <v>160</v>
      </c>
      <c r="B185" s="59" t="s">
        <v>109</v>
      </c>
      <c r="C185" s="59"/>
      <c r="D185" s="59"/>
      <c r="E185" s="30">
        <v>100</v>
      </c>
      <c r="F185" s="32">
        <f>1.9/100*E185</f>
        <v>1.9</v>
      </c>
      <c r="G185" s="32">
        <f>2.8/100*E185</f>
        <v>2.8</v>
      </c>
      <c r="H185" s="32">
        <f>15.8/100*E185</f>
        <v>15.8</v>
      </c>
      <c r="I185" s="32">
        <f>93/100*E185</f>
        <v>93</v>
      </c>
      <c r="J185" s="32">
        <f>4/100*E185</f>
        <v>4</v>
      </c>
    </row>
    <row r="186" spans="1:10">
      <c r="A186" s="4" t="s">
        <v>161</v>
      </c>
      <c r="B186" s="76" t="s">
        <v>110</v>
      </c>
      <c r="C186" s="76"/>
      <c r="D186" s="76"/>
      <c r="E186" s="30">
        <v>80</v>
      </c>
      <c r="F186" s="32">
        <f>12.2/100*E186</f>
        <v>9.76</v>
      </c>
      <c r="G186" s="32">
        <f>13.1/100*E186</f>
        <v>10.48</v>
      </c>
      <c r="H186" s="32">
        <f>2.2/100*E186</f>
        <v>1.7600000000000002</v>
      </c>
      <c r="I186" s="32">
        <f>175/100*E186</f>
        <v>140</v>
      </c>
      <c r="J186" s="32">
        <f>0.6/100*E186</f>
        <v>0.48</v>
      </c>
    </row>
    <row r="187" spans="1:10">
      <c r="A187" s="21" t="s">
        <v>32</v>
      </c>
      <c r="B187" s="59" t="s">
        <v>33</v>
      </c>
      <c r="C187" s="59"/>
      <c r="D187" s="59"/>
      <c r="E187" s="30">
        <v>150</v>
      </c>
      <c r="F187" s="32">
        <f>0.2/100*E187</f>
        <v>0.3</v>
      </c>
      <c r="G187" s="32">
        <f>0/100*E187</f>
        <v>0</v>
      </c>
      <c r="H187" s="32">
        <f>10/100*E187</f>
        <v>15</v>
      </c>
      <c r="I187" s="32">
        <f>36/100*E187</f>
        <v>54</v>
      </c>
      <c r="J187" s="32">
        <f>25.1/100*E187</f>
        <v>37.65</v>
      </c>
    </row>
    <row r="188" spans="1:10">
      <c r="A188" s="21"/>
      <c r="B188" s="59" t="s">
        <v>16</v>
      </c>
      <c r="C188" s="59"/>
      <c r="D188" s="59"/>
      <c r="E188" s="30">
        <v>30</v>
      </c>
      <c r="F188" s="32">
        <f t="shared" ref="F188" si="53">0.9/100*E188</f>
        <v>0.27</v>
      </c>
      <c r="G188" s="32">
        <f t="shared" ref="G188" si="54">2.2/100*E188</f>
        <v>0.66</v>
      </c>
      <c r="H188" s="32">
        <f t="shared" ref="H188" si="55">6.9/100*E188</f>
        <v>2.0700000000000003</v>
      </c>
      <c r="I188" s="32">
        <f t="shared" ref="I188" si="56">46/100*E188</f>
        <v>13.8</v>
      </c>
      <c r="J188" s="32">
        <f t="shared" ref="J188" si="57">2.7/100*E188</f>
        <v>0.81</v>
      </c>
    </row>
    <row r="189" spans="1:10">
      <c r="A189" s="4"/>
      <c r="B189" s="59" t="s">
        <v>111</v>
      </c>
      <c r="C189" s="59"/>
      <c r="D189" s="59"/>
      <c r="E189" s="30">
        <v>10</v>
      </c>
      <c r="F189" s="32">
        <f>2.64/40*E189</f>
        <v>0.66</v>
      </c>
      <c r="G189" s="32">
        <f>0/40*E189</f>
        <v>0</v>
      </c>
      <c r="H189" s="32">
        <f>0.48/40*E189</f>
        <v>0.12</v>
      </c>
      <c r="I189" s="32">
        <f>13.36/40*E189</f>
        <v>3.34</v>
      </c>
      <c r="J189" s="32">
        <f>0/40*E189</f>
        <v>0</v>
      </c>
    </row>
    <row r="190" spans="1:10">
      <c r="A190" s="4"/>
      <c r="B190" s="25" t="s">
        <v>166</v>
      </c>
      <c r="C190" s="26"/>
      <c r="D190" s="27"/>
      <c r="E190" s="33">
        <f>SUM(E182:E189)</f>
        <v>567</v>
      </c>
      <c r="F190" s="34">
        <f t="shared" ref="F190:J190" si="58">SUM(F182:F189)</f>
        <v>16.03</v>
      </c>
      <c r="G190" s="34">
        <f t="shared" si="58"/>
        <v>20.330000000000002</v>
      </c>
      <c r="H190" s="34">
        <f t="shared" si="58"/>
        <v>49.69</v>
      </c>
      <c r="I190" s="34">
        <f t="shared" si="58"/>
        <v>424.74</v>
      </c>
      <c r="J190" s="34">
        <f t="shared" si="58"/>
        <v>44.813000000000002</v>
      </c>
    </row>
    <row r="191" spans="1:10">
      <c r="A191" s="4"/>
      <c r="B191" s="73" t="s">
        <v>17</v>
      </c>
      <c r="C191" s="74"/>
      <c r="D191" s="75"/>
      <c r="E191" s="30"/>
      <c r="F191" s="32"/>
      <c r="G191" s="32"/>
      <c r="H191" s="32"/>
      <c r="I191" s="32"/>
      <c r="J191" s="32"/>
    </row>
    <row r="192" spans="1:10">
      <c r="A192" s="4"/>
      <c r="B192" s="59" t="s">
        <v>112</v>
      </c>
      <c r="C192" s="59"/>
      <c r="D192" s="59"/>
      <c r="E192" s="30">
        <v>60</v>
      </c>
      <c r="F192" s="32">
        <v>4.8</v>
      </c>
      <c r="G192" s="32">
        <v>7.5</v>
      </c>
      <c r="H192" s="32">
        <v>33.299999999999997</v>
      </c>
      <c r="I192" s="32">
        <v>220</v>
      </c>
      <c r="J192" s="32">
        <v>0</v>
      </c>
    </row>
    <row r="193" spans="1:10">
      <c r="A193" s="4"/>
      <c r="B193" s="59" t="s">
        <v>34</v>
      </c>
      <c r="C193" s="59"/>
      <c r="D193" s="59"/>
      <c r="E193" s="30">
        <v>150</v>
      </c>
      <c r="F193" s="32">
        <f>2.9/100*E193</f>
        <v>4.3499999999999996</v>
      </c>
      <c r="G193" s="32">
        <f>3.2/100*E193</f>
        <v>4.8</v>
      </c>
      <c r="H193" s="32">
        <f>4.7/100*E193</f>
        <v>7.05</v>
      </c>
      <c r="I193" s="32">
        <f>59/100*E193</f>
        <v>88.5</v>
      </c>
      <c r="J193" s="32">
        <f>1.3/100*E193</f>
        <v>1.9500000000000002</v>
      </c>
    </row>
    <row r="194" spans="1:10">
      <c r="A194" s="4"/>
      <c r="B194" s="64" t="s">
        <v>166</v>
      </c>
      <c r="C194" s="64"/>
      <c r="D194" s="64"/>
      <c r="E194" s="33">
        <f>SUM(E192:E193)</f>
        <v>210</v>
      </c>
      <c r="F194" s="34">
        <f t="shared" ref="F194:J194" si="59">SUM(F192:F193)</f>
        <v>9.1499999999999986</v>
      </c>
      <c r="G194" s="34">
        <f t="shared" si="59"/>
        <v>12.3</v>
      </c>
      <c r="H194" s="34">
        <f t="shared" si="59"/>
        <v>40.349999999999994</v>
      </c>
      <c r="I194" s="34">
        <f t="shared" si="59"/>
        <v>308.5</v>
      </c>
      <c r="J194" s="34">
        <f t="shared" si="59"/>
        <v>1.9500000000000002</v>
      </c>
    </row>
    <row r="195" spans="1:10">
      <c r="A195" s="4"/>
      <c r="B195" s="77" t="s">
        <v>169</v>
      </c>
      <c r="C195" s="77"/>
      <c r="D195" s="77"/>
      <c r="E195" s="35">
        <f>E179+E180+E190+E194</f>
        <v>1224</v>
      </c>
      <c r="F195" s="37">
        <f t="shared" ref="F195:J195" si="60">F179+F180+F190+F194</f>
        <v>36.884333333333331</v>
      </c>
      <c r="G195" s="37">
        <f t="shared" si="60"/>
        <v>45.983666666666664</v>
      </c>
      <c r="H195" s="37">
        <f t="shared" si="60"/>
        <v>148.03666666666666</v>
      </c>
      <c r="I195" s="37">
        <f t="shared" si="60"/>
        <v>1127.9533333333334</v>
      </c>
      <c r="J195" s="37">
        <f t="shared" si="60"/>
        <v>57.562000000000005</v>
      </c>
    </row>
    <row r="196" spans="1:10">
      <c r="A196" s="4" t="s">
        <v>54</v>
      </c>
      <c r="B196" s="59"/>
      <c r="C196" s="59"/>
      <c r="D196" s="59"/>
      <c r="E196" s="30"/>
      <c r="F196" s="32"/>
      <c r="G196" s="32"/>
      <c r="H196" s="32"/>
      <c r="I196" s="32">
        <f>I195*100/1963</f>
        <v>57.460689420954324</v>
      </c>
      <c r="J196" s="32"/>
    </row>
    <row r="197" spans="1:10">
      <c r="A197" s="68" t="s">
        <v>43</v>
      </c>
      <c r="B197" s="68"/>
      <c r="C197" s="68"/>
      <c r="D197" s="68"/>
      <c r="E197" s="68"/>
      <c r="F197" s="68"/>
      <c r="G197" s="68"/>
      <c r="H197" s="68"/>
      <c r="I197" s="68"/>
      <c r="J197" s="68"/>
    </row>
    <row r="198" spans="1:10">
      <c r="A198" s="4"/>
      <c r="B198" s="73" t="s">
        <v>8</v>
      </c>
      <c r="C198" s="74"/>
      <c r="D198" s="75"/>
      <c r="E198" s="30"/>
      <c r="F198" s="32"/>
      <c r="G198" s="32"/>
      <c r="H198" s="32"/>
      <c r="I198" s="32"/>
      <c r="J198" s="32"/>
    </row>
    <row r="199" spans="1:10">
      <c r="A199" s="4" t="s">
        <v>148</v>
      </c>
      <c r="B199" s="59" t="s">
        <v>113</v>
      </c>
      <c r="C199" s="59"/>
      <c r="D199" s="59"/>
      <c r="E199" s="30">
        <v>150</v>
      </c>
      <c r="F199" s="32">
        <f>14.7/100*E199</f>
        <v>22.049999999999997</v>
      </c>
      <c r="G199" s="32">
        <f>12.1/100*E199</f>
        <v>18.149999999999999</v>
      </c>
      <c r="H199" s="32">
        <f>13.9/100*E199</f>
        <v>20.85</v>
      </c>
      <c r="I199" s="32">
        <f>224/100*E199</f>
        <v>336.00000000000006</v>
      </c>
      <c r="J199" s="32">
        <f>0.2/100*E199</f>
        <v>0.3</v>
      </c>
    </row>
    <row r="200" spans="1:10">
      <c r="A200" s="4" t="s">
        <v>72</v>
      </c>
      <c r="B200" s="59" t="s">
        <v>175</v>
      </c>
      <c r="C200" s="59"/>
      <c r="D200" s="59"/>
      <c r="E200" s="30">
        <v>50</v>
      </c>
      <c r="F200" s="32">
        <f>2/100*E200</f>
        <v>1</v>
      </c>
      <c r="G200" s="32">
        <f>5.8/100*E200</f>
        <v>2.9</v>
      </c>
      <c r="H200" s="32">
        <f>6.8/100*E200</f>
        <v>3.4000000000000004</v>
      </c>
      <c r="I200" s="32">
        <f>62.5/100*E200</f>
        <v>31.25</v>
      </c>
      <c r="J200" s="32">
        <f>0.3/100*E200</f>
        <v>0.15</v>
      </c>
    </row>
    <row r="201" spans="1:10">
      <c r="A201" s="21" t="s">
        <v>27</v>
      </c>
      <c r="B201" s="59" t="s">
        <v>26</v>
      </c>
      <c r="C201" s="59"/>
      <c r="D201" s="59"/>
      <c r="E201" s="30">
        <v>150</v>
      </c>
      <c r="F201" s="32">
        <f>1.9/100*E201</f>
        <v>2.85</v>
      </c>
      <c r="G201" s="32">
        <f>1.7/100*E201</f>
        <v>2.5500000000000003</v>
      </c>
      <c r="H201" s="32">
        <f>12.3/100*E201</f>
        <v>18.450000000000003</v>
      </c>
      <c r="I201" s="32">
        <f>55.9/100*E201</f>
        <v>83.85</v>
      </c>
      <c r="J201" s="32">
        <f>0.3/100*E201</f>
        <v>0.45</v>
      </c>
    </row>
    <row r="202" spans="1:10">
      <c r="A202" s="21"/>
      <c r="B202" s="59" t="s">
        <v>111</v>
      </c>
      <c r="C202" s="59"/>
      <c r="D202" s="59"/>
      <c r="E202" s="30">
        <v>35</v>
      </c>
      <c r="F202" s="32">
        <f>1.94/30*E202</f>
        <v>2.2633333333333332</v>
      </c>
      <c r="G202" s="32">
        <f>3.85/30*E202</f>
        <v>4.4916666666666663</v>
      </c>
      <c r="H202" s="32">
        <f>11.74/30*E202</f>
        <v>13.696666666666667</v>
      </c>
      <c r="I202" s="32">
        <f>90.44/30*E202</f>
        <v>105.51333333333332</v>
      </c>
      <c r="J202" s="32">
        <f>0/30*E202</f>
        <v>0</v>
      </c>
    </row>
    <row r="203" spans="1:10">
      <c r="A203" s="21"/>
      <c r="B203" s="69" t="s">
        <v>193</v>
      </c>
      <c r="C203" s="70"/>
      <c r="D203" s="71"/>
      <c r="E203" s="30">
        <v>5</v>
      </c>
      <c r="F203" s="32"/>
      <c r="G203" s="32"/>
      <c r="H203" s="32"/>
      <c r="I203" s="32"/>
      <c r="J203" s="32"/>
    </row>
    <row r="204" spans="1:10">
      <c r="A204" s="4"/>
      <c r="B204" s="64" t="s">
        <v>166</v>
      </c>
      <c r="C204" s="64"/>
      <c r="D204" s="64"/>
      <c r="E204" s="33">
        <f>E199+E200+E201+E202+E203</f>
        <v>390</v>
      </c>
      <c r="F204" s="34">
        <f>SUM(F199:F202)</f>
        <v>28.16333333333333</v>
      </c>
      <c r="G204" s="34">
        <f t="shared" ref="G204:J204" si="61">SUM(G199:G202)</f>
        <v>28.091666666666665</v>
      </c>
      <c r="H204" s="34">
        <f t="shared" si="61"/>
        <v>56.396666666666668</v>
      </c>
      <c r="I204" s="34">
        <f t="shared" si="61"/>
        <v>556.61333333333334</v>
      </c>
      <c r="J204" s="34">
        <f t="shared" si="61"/>
        <v>0.89999999999999991</v>
      </c>
    </row>
    <row r="205" spans="1:10">
      <c r="A205" s="21" t="s">
        <v>13</v>
      </c>
      <c r="B205" s="22" t="s">
        <v>167</v>
      </c>
      <c r="C205" s="23"/>
      <c r="D205" s="23"/>
      <c r="E205" s="30">
        <v>100</v>
      </c>
      <c r="F205" s="32">
        <v>0.4</v>
      </c>
      <c r="G205" s="32">
        <v>0.4</v>
      </c>
      <c r="H205" s="32">
        <v>9.8000000000000007</v>
      </c>
      <c r="I205" s="32">
        <v>42.7</v>
      </c>
      <c r="J205" s="32">
        <v>10</v>
      </c>
    </row>
    <row r="206" spans="1:10">
      <c r="A206" s="4"/>
      <c r="B206" s="68" t="s">
        <v>12</v>
      </c>
      <c r="C206" s="68"/>
      <c r="D206" s="68"/>
      <c r="E206" s="30"/>
      <c r="F206" s="32"/>
      <c r="G206" s="32"/>
      <c r="H206" s="32"/>
      <c r="I206" s="32"/>
      <c r="J206" s="32"/>
    </row>
    <row r="207" spans="1:10">
      <c r="A207" s="4" t="s">
        <v>134</v>
      </c>
      <c r="B207" s="22" t="s">
        <v>52</v>
      </c>
      <c r="C207" s="23"/>
      <c r="D207" s="23"/>
      <c r="E207" s="30">
        <v>40</v>
      </c>
      <c r="F207" s="32">
        <f>1.6/100*E207</f>
        <v>0.64</v>
      </c>
      <c r="G207" s="32">
        <f>6.7/100*E207</f>
        <v>2.68</v>
      </c>
      <c r="H207" s="32">
        <f>11.9/100*E207</f>
        <v>4.7600000000000007</v>
      </c>
      <c r="I207" s="32">
        <f>107/100*E207</f>
        <v>42.800000000000004</v>
      </c>
      <c r="J207" s="32">
        <f>30.1/100*E207</f>
        <v>12.04</v>
      </c>
    </row>
    <row r="208" spans="1:10">
      <c r="A208" s="4"/>
      <c r="B208" s="72" t="s">
        <v>114</v>
      </c>
      <c r="C208" s="72"/>
      <c r="D208" s="72"/>
      <c r="E208" s="2"/>
      <c r="F208" s="2"/>
      <c r="G208" s="2"/>
      <c r="H208" s="2"/>
      <c r="I208" s="2"/>
      <c r="J208" s="2"/>
    </row>
    <row r="209" spans="1:10">
      <c r="A209" s="4" t="s">
        <v>156</v>
      </c>
      <c r="B209" s="72" t="s">
        <v>115</v>
      </c>
      <c r="C209" s="72"/>
      <c r="D209" s="72"/>
      <c r="E209" s="30">
        <v>150</v>
      </c>
      <c r="F209" s="32">
        <f>2.6/100*E209</f>
        <v>3.9000000000000004</v>
      </c>
      <c r="G209" s="32">
        <f>6.2/100*E209</f>
        <v>9.3000000000000007</v>
      </c>
      <c r="H209" s="32">
        <f>7.7/100*E209</f>
        <v>11.55</v>
      </c>
      <c r="I209" s="32">
        <f>94/100*E209</f>
        <v>141</v>
      </c>
      <c r="J209" s="32">
        <f>3.6/100*E209</f>
        <v>5.4</v>
      </c>
    </row>
    <row r="210" spans="1:10">
      <c r="A210" s="4"/>
      <c r="B210" s="72" t="s">
        <v>194</v>
      </c>
      <c r="C210" s="72"/>
      <c r="D210" s="72"/>
      <c r="E210" s="30">
        <v>10</v>
      </c>
      <c r="F210" s="32"/>
      <c r="G210" s="32"/>
      <c r="H210" s="32"/>
      <c r="I210" s="32"/>
      <c r="J210" s="32"/>
    </row>
    <row r="211" spans="1:10">
      <c r="A211" s="4" t="s">
        <v>22</v>
      </c>
      <c r="B211" s="72" t="s">
        <v>23</v>
      </c>
      <c r="C211" s="72"/>
      <c r="D211" s="72"/>
      <c r="E211" s="30">
        <v>100</v>
      </c>
      <c r="F211" s="32">
        <f>2.1/100*E211</f>
        <v>2.1</v>
      </c>
      <c r="G211" s="32">
        <f>2.8/100*E211</f>
        <v>2.8</v>
      </c>
      <c r="H211" s="32">
        <f>14.9/100*E211</f>
        <v>14.899999999999999</v>
      </c>
      <c r="I211" s="32">
        <f>90/100*E211</f>
        <v>90</v>
      </c>
      <c r="J211" s="32">
        <f>7.2/100*E211</f>
        <v>7.2000000000000011</v>
      </c>
    </row>
    <row r="212" spans="1:10">
      <c r="A212" s="4" t="s">
        <v>164</v>
      </c>
      <c r="B212" s="72" t="s">
        <v>195</v>
      </c>
      <c r="C212" s="72"/>
      <c r="D212" s="72"/>
      <c r="E212" s="30">
        <v>60</v>
      </c>
      <c r="F212" s="32">
        <f>15.4/100*E212</f>
        <v>9.24</v>
      </c>
      <c r="G212" s="32">
        <f>13.4/100*E212</f>
        <v>8.0400000000000009</v>
      </c>
      <c r="H212" s="32">
        <f>6.2/100*E212</f>
        <v>3.7199999999999998</v>
      </c>
      <c r="I212" s="32">
        <f>208/100*E212</f>
        <v>124.80000000000001</v>
      </c>
      <c r="J212" s="32">
        <f>0/100*E212</f>
        <v>0</v>
      </c>
    </row>
    <row r="213" spans="1:10">
      <c r="A213" s="4" t="s">
        <v>32</v>
      </c>
      <c r="B213" s="72" t="s">
        <v>149</v>
      </c>
      <c r="C213" s="72"/>
      <c r="D213" s="72"/>
      <c r="E213" s="30">
        <v>150</v>
      </c>
      <c r="F213" s="32">
        <f>0.2/100*E213</f>
        <v>0.3</v>
      </c>
      <c r="G213" s="32">
        <f>0/100*E213</f>
        <v>0</v>
      </c>
      <c r="H213" s="32">
        <f>10/100*E213</f>
        <v>15</v>
      </c>
      <c r="I213" s="32">
        <f>36/100*E213</f>
        <v>54</v>
      </c>
      <c r="J213" s="32">
        <f>25.1/100*E213</f>
        <v>37.65</v>
      </c>
    </row>
    <row r="214" spans="1:10">
      <c r="A214" s="4"/>
      <c r="B214" s="72" t="s">
        <v>15</v>
      </c>
      <c r="C214" s="72"/>
      <c r="D214" s="72"/>
      <c r="E214" s="30">
        <v>10</v>
      </c>
      <c r="F214" s="32">
        <f t="shared" ref="F214" si="62">0.9/100*E214</f>
        <v>9.0000000000000011E-2</v>
      </c>
      <c r="G214" s="32">
        <f t="shared" ref="G214" si="63">2.2/100*E214</f>
        <v>0.22000000000000003</v>
      </c>
      <c r="H214" s="32">
        <f t="shared" ref="H214" si="64">6.9/100*E214</f>
        <v>0.69000000000000006</v>
      </c>
      <c r="I214" s="32">
        <f t="shared" ref="I214" si="65">46/100*E214</f>
        <v>4.6000000000000005</v>
      </c>
      <c r="J214" s="32">
        <f t="shared" ref="J214" si="66">2.7/100*E214</f>
        <v>0.27</v>
      </c>
    </row>
    <row r="215" spans="1:10">
      <c r="A215" s="4"/>
      <c r="B215" s="72" t="s">
        <v>16</v>
      </c>
      <c r="C215" s="72"/>
      <c r="D215" s="72"/>
      <c r="E215" s="30">
        <v>30</v>
      </c>
      <c r="F215" s="32">
        <f>2.64/40*E215</f>
        <v>1.98</v>
      </c>
      <c r="G215" s="32">
        <f>0/40*E215</f>
        <v>0</v>
      </c>
      <c r="H215" s="32">
        <f>0.48/40*E215</f>
        <v>0.36</v>
      </c>
      <c r="I215" s="32">
        <f>13.36/40*E215</f>
        <v>10.02</v>
      </c>
      <c r="J215" s="32">
        <f>0/40*E215</f>
        <v>0</v>
      </c>
    </row>
    <row r="216" spans="1:10">
      <c r="A216" s="4"/>
      <c r="B216" s="60" t="s">
        <v>166</v>
      </c>
      <c r="C216" s="60"/>
      <c r="D216" s="60"/>
      <c r="E216" s="33">
        <f t="shared" ref="E216:J216" si="67">SUM(E207:E215)</f>
        <v>550</v>
      </c>
      <c r="F216" s="34">
        <f t="shared" si="67"/>
        <v>18.25</v>
      </c>
      <c r="G216" s="34">
        <f t="shared" si="67"/>
        <v>23.04</v>
      </c>
      <c r="H216" s="34">
        <f t="shared" si="67"/>
        <v>50.98</v>
      </c>
      <c r="I216" s="34">
        <f t="shared" si="67"/>
        <v>467.22</v>
      </c>
      <c r="J216" s="34">
        <f t="shared" si="67"/>
        <v>62.56</v>
      </c>
    </row>
    <row r="217" spans="1:10">
      <c r="A217" s="4"/>
      <c r="B217" s="73" t="s">
        <v>17</v>
      </c>
      <c r="C217" s="74"/>
      <c r="D217" s="75"/>
      <c r="E217" s="30"/>
      <c r="F217" s="32"/>
      <c r="G217" s="32"/>
      <c r="H217" s="32"/>
      <c r="I217" s="32"/>
      <c r="J217" s="32"/>
    </row>
    <row r="218" spans="1:10">
      <c r="A218" s="4"/>
      <c r="B218" s="72" t="s">
        <v>154</v>
      </c>
      <c r="C218" s="72"/>
      <c r="D218" s="72"/>
      <c r="E218" s="30">
        <v>60</v>
      </c>
      <c r="F218" s="32">
        <f>6.4/100*E218</f>
        <v>3.84</v>
      </c>
      <c r="G218" s="32">
        <f>4.6/100*E218</f>
        <v>2.76</v>
      </c>
      <c r="H218" s="32">
        <f>36.4/100*E218</f>
        <v>21.84</v>
      </c>
      <c r="I218" s="32">
        <f>204/100*E218</f>
        <v>122.4</v>
      </c>
      <c r="J218" s="32">
        <f>0.5/100*E218</f>
        <v>0.3</v>
      </c>
    </row>
    <row r="219" spans="1:10">
      <c r="A219" s="4"/>
      <c r="B219" s="72" t="s">
        <v>34</v>
      </c>
      <c r="C219" s="72"/>
      <c r="D219" s="72"/>
      <c r="E219" s="30">
        <v>150</v>
      </c>
      <c r="F219" s="32">
        <f>2.9/100*E219</f>
        <v>4.3499999999999996</v>
      </c>
      <c r="G219" s="32">
        <f>3.2/100*E219</f>
        <v>4.8</v>
      </c>
      <c r="H219" s="32">
        <f>4.7/100*E219</f>
        <v>7.05</v>
      </c>
      <c r="I219" s="32">
        <f>59/100*E219</f>
        <v>88.5</v>
      </c>
      <c r="J219" s="32">
        <f>1.3/100*E219</f>
        <v>1.9500000000000002</v>
      </c>
    </row>
    <row r="220" spans="1:10">
      <c r="A220" s="4"/>
      <c r="B220" s="60" t="s">
        <v>166</v>
      </c>
      <c r="C220" s="60"/>
      <c r="D220" s="60"/>
      <c r="E220" s="33">
        <f>SUM(E218:E219)</f>
        <v>210</v>
      </c>
      <c r="F220" s="34">
        <f t="shared" ref="F220:J220" si="68">SUM(F218:F219)</f>
        <v>8.19</v>
      </c>
      <c r="G220" s="34">
        <f t="shared" si="68"/>
        <v>7.56</v>
      </c>
      <c r="H220" s="34">
        <f t="shared" si="68"/>
        <v>28.89</v>
      </c>
      <c r="I220" s="34">
        <f t="shared" si="68"/>
        <v>210.9</v>
      </c>
      <c r="J220" s="34">
        <f t="shared" si="68"/>
        <v>2.25</v>
      </c>
    </row>
    <row r="221" spans="1:10">
      <c r="A221" s="45"/>
      <c r="B221" s="93" t="s">
        <v>19</v>
      </c>
      <c r="C221" s="94"/>
      <c r="D221" s="95"/>
      <c r="E221" s="35">
        <f>E204+E205+E216+E220</f>
        <v>1250</v>
      </c>
      <c r="F221" s="37">
        <f t="shared" ref="F221:J221" si="69">F204+F205+F216+F220</f>
        <v>55.00333333333333</v>
      </c>
      <c r="G221" s="37">
        <f t="shared" si="69"/>
        <v>59.091666666666669</v>
      </c>
      <c r="H221" s="37">
        <f t="shared" si="69"/>
        <v>146.06666666666666</v>
      </c>
      <c r="I221" s="37">
        <f t="shared" si="69"/>
        <v>1277.4333333333334</v>
      </c>
      <c r="J221" s="37">
        <f t="shared" si="69"/>
        <v>75.710000000000008</v>
      </c>
    </row>
    <row r="222" spans="1:10">
      <c r="A222" s="45" t="s">
        <v>54</v>
      </c>
      <c r="B222" s="14"/>
      <c r="C222" s="15"/>
      <c r="D222" s="16"/>
      <c r="E222" s="30"/>
      <c r="F222" s="32"/>
      <c r="G222" s="32"/>
      <c r="H222" s="32"/>
      <c r="I222" s="32">
        <f>I221*100/1963</f>
        <v>65.075564611988455</v>
      </c>
      <c r="J222" s="32"/>
    </row>
    <row r="223" spans="1:10">
      <c r="A223" s="68" t="s">
        <v>44</v>
      </c>
      <c r="B223" s="68"/>
      <c r="C223" s="68"/>
      <c r="D223" s="68"/>
      <c r="E223" s="68"/>
      <c r="F223" s="68"/>
      <c r="G223" s="68"/>
      <c r="H223" s="68"/>
      <c r="I223" s="68"/>
      <c r="J223" s="68"/>
    </row>
    <row r="224" spans="1:10">
      <c r="A224" s="45"/>
      <c r="B224" s="73" t="s">
        <v>8</v>
      </c>
      <c r="C224" s="74"/>
      <c r="D224" s="75"/>
      <c r="E224" s="30"/>
      <c r="F224" s="32"/>
      <c r="G224" s="32"/>
      <c r="H224" s="32"/>
      <c r="I224" s="32"/>
      <c r="J224" s="32"/>
    </row>
    <row r="225" spans="1:10">
      <c r="A225" s="4" t="s">
        <v>36</v>
      </c>
      <c r="B225" s="72" t="s">
        <v>85</v>
      </c>
      <c r="C225" s="72"/>
      <c r="D225" s="72"/>
      <c r="E225" s="30">
        <v>80</v>
      </c>
      <c r="F225" s="32">
        <f>9.8/100*E225</f>
        <v>7.84</v>
      </c>
      <c r="G225" s="32">
        <f>13.1/100*E225</f>
        <v>10.48</v>
      </c>
      <c r="H225" s="32">
        <f>1.7/100*E225</f>
        <v>1.36</v>
      </c>
      <c r="I225" s="32">
        <f>164/100*E225</f>
        <v>131.19999999999999</v>
      </c>
      <c r="J225" s="32">
        <f>0.1/100*E225</f>
        <v>0.08</v>
      </c>
    </row>
    <row r="226" spans="1:10">
      <c r="A226" s="4" t="s">
        <v>57</v>
      </c>
      <c r="B226" s="72" t="s">
        <v>53</v>
      </c>
      <c r="C226" s="72"/>
      <c r="D226" s="72"/>
      <c r="E226" s="30">
        <v>7</v>
      </c>
      <c r="F226" s="32">
        <f>2.63/10*E226</f>
        <v>1.8410000000000002</v>
      </c>
      <c r="G226" s="32">
        <f>2.66/10*E226</f>
        <v>1.8620000000000001</v>
      </c>
      <c r="H226" s="32">
        <f>0/10*E226</f>
        <v>0</v>
      </c>
      <c r="I226" s="32">
        <f>105/30*E226</f>
        <v>24.5</v>
      </c>
      <c r="J226" s="32">
        <f>0.07/10*E226</f>
        <v>4.9000000000000009E-2</v>
      </c>
    </row>
    <row r="227" spans="1:10">
      <c r="A227" s="4" t="s">
        <v>9</v>
      </c>
      <c r="B227" s="72" t="s">
        <v>176</v>
      </c>
      <c r="C227" s="72"/>
      <c r="D227" s="72"/>
      <c r="E227" s="30">
        <v>150</v>
      </c>
      <c r="F227" s="32">
        <f>1.5/100*E227</f>
        <v>2.25</v>
      </c>
      <c r="G227" s="32">
        <f>1.4/100*E227</f>
        <v>2.0999999999999996</v>
      </c>
      <c r="H227" s="32">
        <f>6.7/100*E227</f>
        <v>10.050000000000001</v>
      </c>
      <c r="I227" s="32">
        <f>45/100*E227</f>
        <v>67.5</v>
      </c>
      <c r="J227" s="32">
        <f>0.3/100*E227</f>
        <v>0.45</v>
      </c>
    </row>
    <row r="228" spans="1:10">
      <c r="A228" s="21" t="s">
        <v>11</v>
      </c>
      <c r="B228" s="59" t="s">
        <v>177</v>
      </c>
      <c r="C228" s="59"/>
      <c r="D228" s="59"/>
      <c r="E228" s="30">
        <v>35</v>
      </c>
      <c r="F228" s="32">
        <f>1.94/30*E228</f>
        <v>2.2633333333333332</v>
      </c>
      <c r="G228" s="32">
        <f>3.85/30*E228</f>
        <v>4.4916666666666663</v>
      </c>
      <c r="H228" s="32">
        <f>11.74/30*E228</f>
        <v>13.696666666666667</v>
      </c>
      <c r="I228" s="32">
        <f>90.44/30*E228</f>
        <v>105.51333333333332</v>
      </c>
      <c r="J228" s="32">
        <f>0/30*E228</f>
        <v>0</v>
      </c>
    </row>
    <row r="229" spans="1:10">
      <c r="A229" s="21"/>
      <c r="B229" s="69" t="s">
        <v>39</v>
      </c>
      <c r="C229" s="70"/>
      <c r="D229" s="71"/>
      <c r="E229" s="30">
        <v>5</v>
      </c>
      <c r="F229" s="32"/>
      <c r="G229" s="32"/>
      <c r="H229" s="32"/>
      <c r="I229" s="32"/>
      <c r="J229" s="32"/>
    </row>
    <row r="230" spans="1:10">
      <c r="A230" s="4"/>
      <c r="B230" s="60" t="s">
        <v>166</v>
      </c>
      <c r="C230" s="60"/>
      <c r="D230" s="60"/>
      <c r="E230" s="33">
        <f>E225+E226+E227+E228+E229</f>
        <v>277</v>
      </c>
      <c r="F230" s="34">
        <f>SUM(F225:F228)</f>
        <v>14.194333333333335</v>
      </c>
      <c r="G230" s="34">
        <f t="shared" ref="G230:J230" si="70">SUM(G225:G228)</f>
        <v>18.933666666666667</v>
      </c>
      <c r="H230" s="34">
        <f t="shared" si="70"/>
        <v>25.106666666666669</v>
      </c>
      <c r="I230" s="34">
        <f t="shared" si="70"/>
        <v>328.71333333333331</v>
      </c>
      <c r="J230" s="34">
        <f t="shared" si="70"/>
        <v>0.57899999999999996</v>
      </c>
    </row>
    <row r="231" spans="1:10">
      <c r="A231" s="21" t="s">
        <v>13</v>
      </c>
      <c r="B231" s="22" t="s">
        <v>167</v>
      </c>
      <c r="C231" s="23"/>
      <c r="D231" s="23"/>
      <c r="E231" s="30">
        <v>100</v>
      </c>
      <c r="F231" s="32">
        <v>0.4</v>
      </c>
      <c r="G231" s="32">
        <v>0.4</v>
      </c>
      <c r="H231" s="32">
        <v>9.8000000000000007</v>
      </c>
      <c r="I231" s="32">
        <v>42.7</v>
      </c>
      <c r="J231" s="32">
        <v>10</v>
      </c>
    </row>
    <row r="232" spans="1:10">
      <c r="A232" s="4"/>
      <c r="B232" s="68" t="s">
        <v>12</v>
      </c>
      <c r="C232" s="68"/>
      <c r="D232" s="68"/>
      <c r="E232" s="30"/>
      <c r="F232" s="32"/>
      <c r="G232" s="32"/>
      <c r="H232" s="32"/>
      <c r="I232" s="32"/>
      <c r="J232" s="32"/>
    </row>
    <row r="233" spans="1:10">
      <c r="A233" s="4" t="s">
        <v>150</v>
      </c>
      <c r="B233" s="72" t="s">
        <v>116</v>
      </c>
      <c r="C233" s="72"/>
      <c r="D233" s="72"/>
      <c r="E233" s="32">
        <v>40</v>
      </c>
      <c r="F233" s="32">
        <f>1.3/100*E233</f>
        <v>0.52</v>
      </c>
      <c r="G233" s="32">
        <f>8.3/100*E233</f>
        <v>3.3200000000000003</v>
      </c>
      <c r="H233" s="32">
        <f>22/100*E233</f>
        <v>8.8000000000000007</v>
      </c>
      <c r="I233" s="32">
        <f>155/100*E233</f>
        <v>62</v>
      </c>
      <c r="J233" s="32">
        <f>1.9/100*F233</f>
        <v>9.8799999999999999E-3</v>
      </c>
    </row>
    <row r="234" spans="1:10">
      <c r="A234" s="4"/>
      <c r="B234" s="72" t="s">
        <v>117</v>
      </c>
      <c r="C234" s="72"/>
      <c r="D234" s="72"/>
      <c r="E234" s="30">
        <v>150</v>
      </c>
      <c r="F234" s="32">
        <f>0.9/100*E234</f>
        <v>1.35</v>
      </c>
      <c r="G234" s="32">
        <f>2.2/100*E234</f>
        <v>3.3000000000000003</v>
      </c>
      <c r="H234" s="32">
        <f>5.9/100*E234</f>
        <v>8.8500000000000014</v>
      </c>
      <c r="I234" s="32">
        <f>44/100*E234</f>
        <v>66</v>
      </c>
      <c r="J234" s="32">
        <f>3.2/100*F234</f>
        <v>4.3200000000000002E-2</v>
      </c>
    </row>
    <row r="235" spans="1:10">
      <c r="A235" s="4"/>
      <c r="B235" s="72" t="s">
        <v>118</v>
      </c>
      <c r="C235" s="72"/>
      <c r="D235" s="72"/>
      <c r="E235" s="30">
        <v>10</v>
      </c>
      <c r="F235" s="32"/>
      <c r="G235" s="32"/>
      <c r="H235" s="32"/>
      <c r="I235" s="32"/>
      <c r="J235" s="32"/>
    </row>
    <row r="236" spans="1:10">
      <c r="A236" s="4" t="s">
        <v>162</v>
      </c>
      <c r="B236" s="76" t="s">
        <v>119</v>
      </c>
      <c r="C236" s="76"/>
      <c r="D236" s="76"/>
      <c r="E236" s="30">
        <v>130</v>
      </c>
      <c r="F236" s="32">
        <f>7.9/100*E236</f>
        <v>10.27</v>
      </c>
      <c r="G236" s="32">
        <f>7.8/100*E236</f>
        <v>10.14</v>
      </c>
      <c r="H236" s="32">
        <f>10.9/100*E236</f>
        <v>14.17</v>
      </c>
      <c r="I236" s="32">
        <f>143/100*E236</f>
        <v>185.9</v>
      </c>
      <c r="J236" s="32">
        <f>5.3/100*E236</f>
        <v>6.89</v>
      </c>
    </row>
    <row r="237" spans="1:10">
      <c r="A237" s="4" t="s">
        <v>91</v>
      </c>
      <c r="B237" s="76" t="s">
        <v>120</v>
      </c>
      <c r="C237" s="76"/>
      <c r="D237" s="76"/>
      <c r="E237" s="30">
        <v>150</v>
      </c>
      <c r="F237" s="32">
        <f>0.2/100*E237</f>
        <v>0.3</v>
      </c>
      <c r="G237" s="32">
        <f>0/100*E237</f>
        <v>0</v>
      </c>
      <c r="H237" s="32">
        <f>10/100*E237</f>
        <v>15</v>
      </c>
      <c r="I237" s="32">
        <f>36/100*E237</f>
        <v>54</v>
      </c>
      <c r="J237" s="32">
        <f>25.1/100*E237</f>
        <v>37.65</v>
      </c>
    </row>
    <row r="238" spans="1:10">
      <c r="A238" s="21"/>
      <c r="B238" s="59" t="s">
        <v>15</v>
      </c>
      <c r="C238" s="59"/>
      <c r="D238" s="59"/>
      <c r="E238" s="30">
        <v>10</v>
      </c>
      <c r="F238" s="32">
        <f t="shared" ref="F238" si="71">0.9/100*E238</f>
        <v>9.0000000000000011E-2</v>
      </c>
      <c r="G238" s="32">
        <f t="shared" ref="G238" si="72">2.2/100*E238</f>
        <v>0.22000000000000003</v>
      </c>
      <c r="H238" s="32">
        <f t="shared" ref="H238" si="73">6.9/100*E238</f>
        <v>0.69000000000000006</v>
      </c>
      <c r="I238" s="32">
        <f t="shared" ref="I238" si="74">46/100*E238</f>
        <v>4.6000000000000005</v>
      </c>
      <c r="J238" s="32">
        <f t="shared" ref="J238" si="75">2.7/100*E238</f>
        <v>0.27</v>
      </c>
    </row>
    <row r="239" spans="1:10">
      <c r="A239" s="21"/>
      <c r="B239" s="59" t="s">
        <v>16</v>
      </c>
      <c r="C239" s="59"/>
      <c r="D239" s="59"/>
      <c r="E239" s="30">
        <v>30</v>
      </c>
      <c r="F239" s="32">
        <f>2.64/40*E239</f>
        <v>1.98</v>
      </c>
      <c r="G239" s="32">
        <f>0/40*E239</f>
        <v>0</v>
      </c>
      <c r="H239" s="32">
        <f>0.48/40*E239</f>
        <v>0.36</v>
      </c>
      <c r="I239" s="32">
        <f>13.36/40*E239</f>
        <v>10.02</v>
      </c>
      <c r="J239" s="32">
        <f>0/40*E239</f>
        <v>0</v>
      </c>
    </row>
    <row r="240" spans="1:10">
      <c r="A240" s="4"/>
      <c r="B240" s="60" t="s">
        <v>166</v>
      </c>
      <c r="C240" s="60"/>
      <c r="D240" s="60"/>
      <c r="E240" s="33">
        <f>SUM(E233:E239)</f>
        <v>520</v>
      </c>
      <c r="F240" s="34">
        <f t="shared" ref="F240:J240" si="76">SUM(F233:F239)</f>
        <v>14.510000000000002</v>
      </c>
      <c r="G240" s="34">
        <f t="shared" si="76"/>
        <v>16.98</v>
      </c>
      <c r="H240" s="34">
        <f t="shared" si="76"/>
        <v>47.87</v>
      </c>
      <c r="I240" s="34">
        <f t="shared" si="76"/>
        <v>382.52</v>
      </c>
      <c r="J240" s="34">
        <f t="shared" si="76"/>
        <v>44.863080000000004</v>
      </c>
    </row>
    <row r="241" spans="1:10">
      <c r="A241" s="4"/>
      <c r="B241" s="73" t="s">
        <v>17</v>
      </c>
      <c r="C241" s="74"/>
      <c r="D241" s="75"/>
      <c r="E241" s="30"/>
      <c r="F241" s="32"/>
      <c r="G241" s="32"/>
      <c r="H241" s="32"/>
      <c r="I241" s="32"/>
      <c r="J241" s="32"/>
    </row>
    <row r="242" spans="1:10">
      <c r="A242" s="4" t="s">
        <v>135</v>
      </c>
      <c r="B242" s="72" t="s">
        <v>155</v>
      </c>
      <c r="C242" s="72"/>
      <c r="D242" s="72"/>
      <c r="E242" s="30">
        <v>60</v>
      </c>
      <c r="F242" s="32">
        <f>6.8/100*E242</f>
        <v>4.08</v>
      </c>
      <c r="G242" s="32">
        <f>8.5/100*E242</f>
        <v>5.1000000000000005</v>
      </c>
      <c r="H242" s="32">
        <f>48.8/100*E242</f>
        <v>29.28</v>
      </c>
      <c r="I242" s="32">
        <f>292/100*E242</f>
        <v>175.2</v>
      </c>
      <c r="J242" s="32">
        <f>0.6/100*E242</f>
        <v>0.36</v>
      </c>
    </row>
    <row r="243" spans="1:10">
      <c r="A243" s="4"/>
      <c r="B243" s="59" t="s">
        <v>34</v>
      </c>
      <c r="C243" s="59"/>
      <c r="D243" s="59"/>
      <c r="E243" s="30">
        <v>150</v>
      </c>
      <c r="F243" s="32">
        <v>5.2</v>
      </c>
      <c r="G243" s="32">
        <v>5.8</v>
      </c>
      <c r="H243" s="32">
        <v>7.2</v>
      </c>
      <c r="I243" s="32">
        <v>105</v>
      </c>
      <c r="J243" s="32">
        <v>0</v>
      </c>
    </row>
    <row r="244" spans="1:10">
      <c r="A244" s="4"/>
      <c r="B244" s="60" t="s">
        <v>166</v>
      </c>
      <c r="C244" s="60"/>
      <c r="D244" s="60"/>
      <c r="E244" s="33">
        <f>SUM(E242:E243)</f>
        <v>210</v>
      </c>
      <c r="F244" s="34">
        <f t="shared" ref="F244:J244" si="77">SUM(F242:F243)</f>
        <v>9.2800000000000011</v>
      </c>
      <c r="G244" s="34">
        <f t="shared" si="77"/>
        <v>10.9</v>
      </c>
      <c r="H244" s="34">
        <f t="shared" si="77"/>
        <v>36.480000000000004</v>
      </c>
      <c r="I244" s="34">
        <f t="shared" si="77"/>
        <v>280.2</v>
      </c>
      <c r="J244" s="34">
        <f t="shared" si="77"/>
        <v>0.36</v>
      </c>
    </row>
    <row r="245" spans="1:10">
      <c r="A245" s="4"/>
      <c r="B245" s="61" t="s">
        <v>19</v>
      </c>
      <c r="C245" s="62"/>
      <c r="D245" s="63"/>
      <c r="E245" s="35">
        <f>E230+E231+E240+E244</f>
        <v>1107</v>
      </c>
      <c r="F245" s="37">
        <f t="shared" ref="F245:J245" si="78">F230+F231+F240+F244</f>
        <v>38.384333333333338</v>
      </c>
      <c r="G245" s="37">
        <f t="shared" si="78"/>
        <v>47.213666666666661</v>
      </c>
      <c r="H245" s="37">
        <f t="shared" si="78"/>
        <v>119.25666666666667</v>
      </c>
      <c r="I245" s="37">
        <f t="shared" si="78"/>
        <v>1034.1333333333332</v>
      </c>
      <c r="J245" s="37">
        <f t="shared" si="78"/>
        <v>55.802080000000004</v>
      </c>
    </row>
    <row r="246" spans="1:10">
      <c r="A246" s="4" t="s">
        <v>54</v>
      </c>
      <c r="B246" s="46"/>
      <c r="C246" s="47"/>
      <c r="D246" s="48"/>
      <c r="E246" s="30"/>
      <c r="F246" s="32"/>
      <c r="G246" s="32"/>
      <c r="H246" s="32"/>
      <c r="I246" s="32">
        <f>I245*100/1963</f>
        <v>52.681270164713865</v>
      </c>
      <c r="J246" s="32"/>
    </row>
    <row r="247" spans="1:10">
      <c r="A247" s="68" t="s">
        <v>50</v>
      </c>
      <c r="B247" s="68"/>
      <c r="C247" s="68"/>
      <c r="D247" s="68"/>
      <c r="E247" s="68"/>
      <c r="F247" s="68"/>
      <c r="G247" s="68"/>
      <c r="H247" s="68"/>
      <c r="I247" s="68"/>
      <c r="J247" s="68"/>
    </row>
    <row r="248" spans="1:10">
      <c r="A248" s="45"/>
      <c r="B248" s="73" t="s">
        <v>8</v>
      </c>
      <c r="C248" s="74"/>
      <c r="D248" s="75"/>
      <c r="E248" s="30"/>
      <c r="F248" s="32"/>
      <c r="G248" s="32"/>
      <c r="H248" s="32"/>
      <c r="I248" s="32"/>
      <c r="J248" s="32"/>
    </row>
    <row r="249" spans="1:10">
      <c r="A249" s="4" t="s">
        <v>151</v>
      </c>
      <c r="B249" s="72" t="s">
        <v>121</v>
      </c>
      <c r="C249" s="72"/>
      <c r="D249" s="72"/>
      <c r="E249" s="30">
        <v>150</v>
      </c>
      <c r="F249" s="32">
        <f>3/100*E249</f>
        <v>4.5</v>
      </c>
      <c r="G249" s="32">
        <f>2.9/100*E249</f>
        <v>4.3499999999999996</v>
      </c>
      <c r="H249" s="32">
        <f>21.9/100*E249</f>
        <v>32.849999999999994</v>
      </c>
      <c r="I249" s="32">
        <f>124/100*E249</f>
        <v>186</v>
      </c>
      <c r="J249" s="32">
        <f>0.3/100*E249</f>
        <v>0.45</v>
      </c>
    </row>
    <row r="250" spans="1:10">
      <c r="A250" s="4" t="s">
        <v>57</v>
      </c>
      <c r="B250" s="72" t="s">
        <v>53</v>
      </c>
      <c r="C250" s="72"/>
      <c r="D250" s="72"/>
      <c r="E250" s="30">
        <v>7</v>
      </c>
      <c r="F250" s="32">
        <f>2.63/10*E250</f>
        <v>1.8410000000000002</v>
      </c>
      <c r="G250" s="32">
        <f>2.66/10*E250</f>
        <v>1.8620000000000001</v>
      </c>
      <c r="H250" s="32">
        <f>0/10*E250</f>
        <v>0</v>
      </c>
      <c r="I250" s="32">
        <f>105/30*E250</f>
        <v>24.5</v>
      </c>
      <c r="J250" s="32">
        <f>0.07/10*E250</f>
        <v>4.9000000000000009E-2</v>
      </c>
    </row>
    <row r="251" spans="1:10">
      <c r="A251" s="21" t="s">
        <v>128</v>
      </c>
      <c r="B251" s="69" t="s">
        <v>198</v>
      </c>
      <c r="C251" s="70"/>
      <c r="D251" s="71"/>
      <c r="E251" s="30">
        <v>150</v>
      </c>
      <c r="F251" s="32">
        <f>0.7/100*E251</f>
        <v>1.0499999999999998</v>
      </c>
      <c r="G251" s="32">
        <f>0.7/100*E251</f>
        <v>1.0499999999999998</v>
      </c>
      <c r="H251" s="32">
        <f>5.6/100*E251</f>
        <v>8.3999999999999986</v>
      </c>
      <c r="I251" s="32">
        <f>31/100*E251</f>
        <v>46.5</v>
      </c>
      <c r="J251" s="32">
        <f>0.1/100*E251</f>
        <v>0.15</v>
      </c>
    </row>
    <row r="252" spans="1:10">
      <c r="A252" s="21" t="s">
        <v>11</v>
      </c>
      <c r="B252" s="59" t="s">
        <v>177</v>
      </c>
      <c r="C252" s="59"/>
      <c r="D252" s="59"/>
      <c r="E252" s="30">
        <v>35</v>
      </c>
      <c r="F252" s="32">
        <f>1.94/30*E252</f>
        <v>2.2633333333333332</v>
      </c>
      <c r="G252" s="32">
        <f>3.85/30*E252</f>
        <v>4.4916666666666663</v>
      </c>
      <c r="H252" s="32">
        <f>11.74/30*E252</f>
        <v>13.696666666666667</v>
      </c>
      <c r="I252" s="32">
        <f>90.44/30*E252</f>
        <v>105.51333333333332</v>
      </c>
      <c r="J252" s="32">
        <f>0/30*E252</f>
        <v>0</v>
      </c>
    </row>
    <row r="253" spans="1:10">
      <c r="A253" s="21"/>
      <c r="B253" s="69" t="s">
        <v>39</v>
      </c>
      <c r="C253" s="70"/>
      <c r="D253" s="71"/>
      <c r="E253" s="30">
        <v>5</v>
      </c>
      <c r="F253" s="32"/>
      <c r="G253" s="32"/>
      <c r="H253" s="32"/>
      <c r="I253" s="32"/>
      <c r="J253" s="32"/>
    </row>
    <row r="254" spans="1:10">
      <c r="A254" s="4"/>
      <c r="B254" s="60" t="s">
        <v>166</v>
      </c>
      <c r="C254" s="60"/>
      <c r="D254" s="60"/>
      <c r="E254" s="33">
        <f>E249+E250+E251+E252+E253</f>
        <v>347</v>
      </c>
      <c r="F254" s="34">
        <f>SUM(F249:F252)</f>
        <v>9.6543333333333337</v>
      </c>
      <c r="G254" s="34">
        <f t="shared" ref="G254:J254" si="79">SUM(G249:G252)</f>
        <v>11.753666666666666</v>
      </c>
      <c r="H254" s="34">
        <f t="shared" si="79"/>
        <v>54.946666666666658</v>
      </c>
      <c r="I254" s="34">
        <f t="shared" si="79"/>
        <v>362.51333333333332</v>
      </c>
      <c r="J254" s="34">
        <f t="shared" si="79"/>
        <v>0.64900000000000002</v>
      </c>
    </row>
    <row r="255" spans="1:10">
      <c r="A255" s="21" t="s">
        <v>13</v>
      </c>
      <c r="B255" s="22" t="s">
        <v>167</v>
      </c>
      <c r="C255" s="23"/>
      <c r="D255" s="23"/>
      <c r="E255" s="30">
        <v>100</v>
      </c>
      <c r="F255" s="32">
        <v>0.4</v>
      </c>
      <c r="G255" s="32">
        <v>0.4</v>
      </c>
      <c r="H255" s="32">
        <v>9.8000000000000007</v>
      </c>
      <c r="I255" s="32">
        <v>42.7</v>
      </c>
      <c r="J255" s="32">
        <v>10</v>
      </c>
    </row>
    <row r="256" spans="1:10">
      <c r="A256" s="45"/>
      <c r="B256" s="68" t="s">
        <v>12</v>
      </c>
      <c r="C256" s="68"/>
      <c r="D256" s="68"/>
      <c r="E256" s="30"/>
      <c r="F256" s="31"/>
      <c r="G256" s="31"/>
      <c r="H256" s="31"/>
      <c r="I256" s="31"/>
      <c r="J256" s="31"/>
    </row>
    <row r="257" spans="1:11">
      <c r="A257" s="45" t="s">
        <v>153</v>
      </c>
      <c r="B257" s="59" t="s">
        <v>122</v>
      </c>
      <c r="C257" s="59"/>
      <c r="D257" s="59"/>
      <c r="E257" s="30">
        <v>40</v>
      </c>
      <c r="F257" s="32">
        <f>3/100*E257</f>
        <v>1.2</v>
      </c>
      <c r="G257" s="32">
        <f>11.2/100*E257</f>
        <v>4.4799999999999995</v>
      </c>
      <c r="H257" s="32">
        <f>12/100*E257</f>
        <v>4.8</v>
      </c>
      <c r="I257" s="32">
        <f>154/100*E257</f>
        <v>61.6</v>
      </c>
      <c r="J257" s="32">
        <f>6.4/100*E257</f>
        <v>2.56</v>
      </c>
    </row>
    <row r="258" spans="1:11">
      <c r="A258" s="45"/>
      <c r="B258" s="59" t="s">
        <v>123</v>
      </c>
      <c r="C258" s="59"/>
      <c r="D258" s="59"/>
      <c r="E258" s="30"/>
      <c r="F258" s="32"/>
      <c r="G258" s="32"/>
      <c r="H258" s="32"/>
      <c r="I258" s="32"/>
      <c r="J258" s="32"/>
    </row>
    <row r="259" spans="1:11">
      <c r="A259" s="45" t="s">
        <v>157</v>
      </c>
      <c r="B259" s="59" t="s">
        <v>124</v>
      </c>
      <c r="C259" s="59"/>
      <c r="D259" s="59"/>
      <c r="E259" s="30">
        <v>150</v>
      </c>
      <c r="F259" s="32">
        <f>1.3/100*E259</f>
        <v>1.9500000000000002</v>
      </c>
      <c r="G259" s="32">
        <f>2/100*E259</f>
        <v>3</v>
      </c>
      <c r="H259" s="32">
        <f>4.9/100*E259</f>
        <v>7.3500000000000005</v>
      </c>
      <c r="I259" s="32">
        <f>40/100*E259</f>
        <v>60</v>
      </c>
      <c r="J259" s="32">
        <f>0.7/100*E259</f>
        <v>1.0499999999999998</v>
      </c>
    </row>
    <row r="260" spans="1:11">
      <c r="A260" s="45"/>
      <c r="B260" s="59" t="s">
        <v>125</v>
      </c>
      <c r="C260" s="59"/>
      <c r="D260" s="59"/>
      <c r="E260" s="30">
        <v>5</v>
      </c>
      <c r="F260" s="32"/>
      <c r="G260" s="32"/>
      <c r="H260" s="32"/>
      <c r="I260" s="32"/>
      <c r="J260" s="32"/>
    </row>
    <row r="261" spans="1:11">
      <c r="A261" s="45" t="s">
        <v>165</v>
      </c>
      <c r="B261" s="59" t="s">
        <v>126</v>
      </c>
      <c r="C261" s="59"/>
      <c r="D261" s="59"/>
      <c r="E261" s="30">
        <v>150</v>
      </c>
      <c r="F261" s="32">
        <f>14.8/100*E261</f>
        <v>22.200000000000003</v>
      </c>
      <c r="G261" s="32">
        <f>4.3/100*E261</f>
        <v>6.4499999999999993</v>
      </c>
      <c r="H261" s="32">
        <f>3.4/100*E261</f>
        <v>5.1000000000000005</v>
      </c>
      <c r="I261" s="32">
        <f>111/100*E261</f>
        <v>166.50000000000003</v>
      </c>
      <c r="J261" s="32">
        <f>0.1/100*E261</f>
        <v>0.15</v>
      </c>
    </row>
    <row r="262" spans="1:11">
      <c r="A262" s="45" t="s">
        <v>30</v>
      </c>
      <c r="B262" s="59" t="s">
        <v>25</v>
      </c>
      <c r="C262" s="59"/>
      <c r="D262" s="59"/>
      <c r="E262" s="30">
        <v>150</v>
      </c>
      <c r="F262" s="32">
        <f>0.2/100*E262</f>
        <v>0.3</v>
      </c>
      <c r="G262" s="32">
        <f>0/100*E262</f>
        <v>0</v>
      </c>
      <c r="H262" s="32">
        <f>9.6/100*E262</f>
        <v>14.4</v>
      </c>
      <c r="I262" s="32">
        <f>36/100*E262</f>
        <v>54</v>
      </c>
      <c r="J262" s="32">
        <f>25/100*E262</f>
        <v>37.5</v>
      </c>
    </row>
    <row r="263" spans="1:11">
      <c r="A263" s="45"/>
      <c r="B263" s="59" t="s">
        <v>15</v>
      </c>
      <c r="C263" s="59"/>
      <c r="D263" s="59"/>
      <c r="E263" s="30">
        <v>10</v>
      </c>
      <c r="F263" s="32">
        <f t="shared" ref="F263" si="80">0.9/100*E263</f>
        <v>9.0000000000000011E-2</v>
      </c>
      <c r="G263" s="32">
        <f t="shared" ref="G263" si="81">2.2/100*E263</f>
        <v>0.22000000000000003</v>
      </c>
      <c r="H263" s="32">
        <f t="shared" ref="H263" si="82">6.9/100*E263</f>
        <v>0.69000000000000006</v>
      </c>
      <c r="I263" s="32">
        <f t="shared" ref="I263" si="83">46/100*E263</f>
        <v>4.6000000000000005</v>
      </c>
      <c r="J263" s="32">
        <f t="shared" ref="J263" si="84">2.7/100*E263</f>
        <v>0.27</v>
      </c>
    </row>
    <row r="264" spans="1:11">
      <c r="A264" s="45"/>
      <c r="B264" s="59" t="s">
        <v>16</v>
      </c>
      <c r="C264" s="59"/>
      <c r="D264" s="59"/>
      <c r="E264" s="30">
        <v>30</v>
      </c>
      <c r="F264" s="32">
        <f>2.64/40*E264</f>
        <v>1.98</v>
      </c>
      <c r="G264" s="32">
        <f>0/40*E264</f>
        <v>0</v>
      </c>
      <c r="H264" s="32">
        <f>0.48/40*E264</f>
        <v>0.36</v>
      </c>
      <c r="I264" s="32">
        <f>13.36/40*E264</f>
        <v>10.02</v>
      </c>
      <c r="J264" s="32">
        <f>0/40*E264</f>
        <v>0</v>
      </c>
    </row>
    <row r="265" spans="1:11">
      <c r="A265" s="45"/>
      <c r="B265" s="64" t="s">
        <v>166</v>
      </c>
      <c r="C265" s="64"/>
      <c r="D265" s="64"/>
      <c r="E265" s="33">
        <f>SUM(E257:E264)</f>
        <v>535</v>
      </c>
      <c r="F265" s="34">
        <f t="shared" ref="F265:J265" si="85">SUM(F257:F264)</f>
        <v>27.720000000000002</v>
      </c>
      <c r="G265" s="34">
        <f t="shared" si="85"/>
        <v>14.15</v>
      </c>
      <c r="H265" s="34">
        <f t="shared" si="85"/>
        <v>32.699999999999996</v>
      </c>
      <c r="I265" s="34">
        <f t="shared" si="85"/>
        <v>356.72</v>
      </c>
      <c r="J265" s="34">
        <f t="shared" si="85"/>
        <v>41.53</v>
      </c>
    </row>
    <row r="266" spans="1:11">
      <c r="A266" s="45"/>
      <c r="B266" s="65" t="s">
        <v>17</v>
      </c>
      <c r="C266" s="66"/>
      <c r="D266" s="67"/>
      <c r="E266" s="30"/>
      <c r="F266" s="32"/>
      <c r="G266" s="32"/>
      <c r="H266" s="32"/>
      <c r="I266" s="32"/>
      <c r="J266" s="32"/>
    </row>
    <row r="267" spans="1:11">
      <c r="A267" s="45"/>
      <c r="B267" s="59" t="s">
        <v>163</v>
      </c>
      <c r="C267" s="59"/>
      <c r="D267" s="59"/>
      <c r="E267" s="30">
        <v>60</v>
      </c>
      <c r="F267" s="32">
        <v>4.0999999999999996</v>
      </c>
      <c r="G267" s="32">
        <v>7.4</v>
      </c>
      <c r="H267" s="32">
        <v>46.8</v>
      </c>
      <c r="I267" s="32">
        <v>280.60000000000002</v>
      </c>
      <c r="J267" s="32">
        <v>0</v>
      </c>
    </row>
    <row r="268" spans="1:11">
      <c r="A268" s="45"/>
      <c r="B268" s="59" t="s">
        <v>18</v>
      </c>
      <c r="C268" s="59"/>
      <c r="D268" s="59"/>
      <c r="E268" s="30">
        <v>150</v>
      </c>
      <c r="F268" s="32">
        <f>2.9/100*E268</f>
        <v>4.3499999999999996</v>
      </c>
      <c r="G268" s="32">
        <f>3/100*E268</f>
        <v>4.5</v>
      </c>
      <c r="H268" s="32">
        <f>4.5/100*E268</f>
        <v>6.75</v>
      </c>
      <c r="I268" s="32">
        <f>56/100*E268</f>
        <v>84.000000000000014</v>
      </c>
      <c r="J268" s="32">
        <f>0.5/100*E268</f>
        <v>0.75</v>
      </c>
    </row>
    <row r="269" spans="1:11">
      <c r="A269" s="45"/>
      <c r="B269" s="60" t="s">
        <v>166</v>
      </c>
      <c r="C269" s="60"/>
      <c r="D269" s="60"/>
      <c r="E269" s="33">
        <f>SUM(E267:E268)</f>
        <v>210</v>
      </c>
      <c r="F269" s="34">
        <f t="shared" ref="F269:J269" si="86">SUM(F267:F268)</f>
        <v>8.4499999999999993</v>
      </c>
      <c r="G269" s="34">
        <f t="shared" si="86"/>
        <v>11.9</v>
      </c>
      <c r="H269" s="34">
        <f t="shared" si="86"/>
        <v>53.55</v>
      </c>
      <c r="I269" s="34">
        <f t="shared" si="86"/>
        <v>364.6</v>
      </c>
      <c r="J269" s="34">
        <f t="shared" si="86"/>
        <v>0.75</v>
      </c>
    </row>
    <row r="270" spans="1:11">
      <c r="A270" s="45"/>
      <c r="B270" s="61" t="s">
        <v>169</v>
      </c>
      <c r="C270" s="62"/>
      <c r="D270" s="63"/>
      <c r="E270" s="35">
        <f>E254+E255+E265+E269</f>
        <v>1192</v>
      </c>
      <c r="F270" s="37">
        <f t="shared" ref="F270:J270" si="87">F254+F255+F265+F269</f>
        <v>46.224333333333334</v>
      </c>
      <c r="G270" s="37">
        <f t="shared" si="87"/>
        <v>38.203666666666663</v>
      </c>
      <c r="H270" s="37">
        <f t="shared" si="87"/>
        <v>150.99666666666667</v>
      </c>
      <c r="I270" s="37">
        <f t="shared" si="87"/>
        <v>1126.5333333333333</v>
      </c>
      <c r="J270" s="37">
        <f t="shared" si="87"/>
        <v>52.929000000000002</v>
      </c>
    </row>
    <row r="271" spans="1:11">
      <c r="A271" s="45" t="s">
        <v>54</v>
      </c>
      <c r="B271" s="59"/>
      <c r="C271" s="59"/>
      <c r="D271" s="59"/>
      <c r="E271" s="30"/>
      <c r="F271" s="32"/>
      <c r="G271" s="32"/>
      <c r="H271" s="32"/>
      <c r="I271" s="32">
        <f>I270*100/1963</f>
        <v>57.388351163185597</v>
      </c>
      <c r="J271" s="32"/>
    </row>
    <row r="272" spans="1:11">
      <c r="A272" s="44"/>
      <c r="B272" s="58"/>
      <c r="C272" s="58"/>
      <c r="D272" s="58"/>
      <c r="E272" s="39"/>
      <c r="F272" s="40"/>
      <c r="G272" s="40"/>
      <c r="H272" s="40"/>
      <c r="I272" s="40"/>
      <c r="J272" s="40"/>
      <c r="K272" s="44"/>
    </row>
    <row r="273" spans="1:11">
      <c r="A273" s="44"/>
      <c r="B273" s="58"/>
      <c r="C273" s="58"/>
      <c r="D273" s="58"/>
      <c r="E273" s="39"/>
      <c r="F273" s="40"/>
      <c r="G273" s="40"/>
      <c r="H273" s="40"/>
      <c r="I273" s="40"/>
      <c r="J273" s="40"/>
      <c r="K273" s="44"/>
    </row>
    <row r="274" spans="1:11">
      <c r="A274" s="44"/>
      <c r="B274" s="58"/>
      <c r="C274" s="58"/>
      <c r="D274" s="58"/>
      <c r="E274" s="39"/>
      <c r="F274" s="41"/>
      <c r="G274" s="41"/>
      <c r="H274" s="41"/>
      <c r="I274" s="41"/>
      <c r="J274" s="41"/>
      <c r="K274" s="44"/>
    </row>
    <row r="275" spans="1:11">
      <c r="A275" s="44"/>
      <c r="B275" s="58"/>
      <c r="C275" s="58"/>
      <c r="D275" s="58"/>
      <c r="E275" s="39"/>
      <c r="F275" s="41"/>
      <c r="G275" s="41"/>
      <c r="H275" s="41"/>
      <c r="I275" s="41"/>
      <c r="J275" s="41"/>
      <c r="K275" s="44"/>
    </row>
    <row r="276" spans="1:11">
      <c r="A276" s="44"/>
      <c r="B276" s="58"/>
      <c r="C276" s="58"/>
      <c r="D276" s="58"/>
      <c r="E276" s="39"/>
      <c r="F276" s="41"/>
      <c r="G276" s="41"/>
      <c r="H276" s="41"/>
      <c r="I276" s="41"/>
      <c r="J276" s="41"/>
      <c r="K276" s="44"/>
    </row>
    <row r="277" spans="1:11">
      <c r="A277" s="44"/>
      <c r="B277" s="58"/>
      <c r="C277" s="58"/>
      <c r="D277" s="58"/>
      <c r="E277" s="39"/>
      <c r="F277" s="41"/>
      <c r="G277" s="41"/>
      <c r="H277" s="41"/>
      <c r="I277" s="41"/>
      <c r="J277" s="41"/>
      <c r="K277" s="44"/>
    </row>
    <row r="278" spans="1:11">
      <c r="A278" s="44"/>
      <c r="B278" s="58"/>
      <c r="C278" s="58"/>
      <c r="D278" s="58"/>
      <c r="E278" s="39"/>
      <c r="F278" s="41"/>
      <c r="G278" s="41"/>
      <c r="H278" s="41"/>
      <c r="I278" s="41"/>
      <c r="J278" s="41"/>
      <c r="K278" s="44"/>
    </row>
    <row r="279" spans="1:11">
      <c r="A279" s="44"/>
      <c r="B279" s="58"/>
      <c r="C279" s="58"/>
      <c r="D279" s="58"/>
      <c r="E279" s="39"/>
      <c r="F279" s="41"/>
      <c r="G279" s="41"/>
      <c r="H279" s="41"/>
      <c r="I279" s="41"/>
      <c r="J279" s="41"/>
      <c r="K279" s="44"/>
    </row>
    <row r="280" spans="1:11">
      <c r="A280" s="44"/>
      <c r="B280" s="58"/>
      <c r="C280" s="58"/>
      <c r="D280" s="58"/>
      <c r="E280" s="39"/>
      <c r="F280" s="41"/>
      <c r="G280" s="41"/>
      <c r="H280" s="41"/>
      <c r="I280" s="41"/>
      <c r="J280" s="41"/>
      <c r="K280" s="44"/>
    </row>
    <row r="281" spans="1:11">
      <c r="A281" s="44"/>
      <c r="B281" s="58"/>
      <c r="C281" s="58"/>
      <c r="D281" s="58"/>
      <c r="E281" s="39"/>
      <c r="F281" s="41"/>
      <c r="G281" s="41"/>
      <c r="H281" s="41"/>
      <c r="I281" s="41"/>
      <c r="J281" s="41"/>
      <c r="K281" s="44"/>
    </row>
    <row r="282" spans="1:11">
      <c r="A282" s="44"/>
      <c r="B282" s="58"/>
      <c r="C282" s="58"/>
      <c r="D282" s="58"/>
      <c r="E282" s="39"/>
      <c r="F282" s="41"/>
      <c r="G282" s="41"/>
      <c r="H282" s="41"/>
      <c r="I282" s="41"/>
      <c r="J282" s="41"/>
      <c r="K282" s="44"/>
    </row>
    <row r="283" spans="1:11">
      <c r="A283" s="44"/>
      <c r="B283" s="58"/>
      <c r="C283" s="58"/>
      <c r="D283" s="58"/>
      <c r="E283" s="39"/>
      <c r="F283" s="41"/>
      <c r="G283" s="41"/>
      <c r="H283" s="41"/>
      <c r="I283" s="41"/>
      <c r="J283" s="41"/>
      <c r="K283" s="44"/>
    </row>
    <row r="284" spans="1:11">
      <c r="A284" s="44"/>
      <c r="B284" s="58"/>
      <c r="C284" s="58"/>
      <c r="D284" s="58"/>
      <c r="E284" s="39"/>
      <c r="F284" s="41"/>
      <c r="G284" s="41"/>
      <c r="H284" s="41"/>
      <c r="I284" s="41"/>
      <c r="J284" s="41"/>
      <c r="K284" s="44"/>
    </row>
    <row r="285" spans="1:11">
      <c r="A285" s="44"/>
      <c r="B285" s="58"/>
      <c r="C285" s="58"/>
      <c r="D285" s="58"/>
      <c r="E285" s="39"/>
      <c r="F285" s="41"/>
      <c r="G285" s="41"/>
      <c r="H285" s="41"/>
      <c r="I285" s="41"/>
      <c r="J285" s="41"/>
      <c r="K285" s="44"/>
    </row>
    <row r="286" spans="1:11">
      <c r="A286" s="44"/>
      <c r="B286" s="58"/>
      <c r="C286" s="58"/>
      <c r="D286" s="58"/>
      <c r="E286" s="39"/>
      <c r="F286" s="41"/>
      <c r="G286" s="41"/>
      <c r="H286" s="41"/>
      <c r="I286" s="41"/>
      <c r="J286" s="41"/>
      <c r="K286" s="44"/>
    </row>
    <row r="287" spans="1:11">
      <c r="A287" s="44"/>
      <c r="B287" s="58"/>
      <c r="C287" s="58"/>
      <c r="D287" s="58"/>
      <c r="E287" s="39"/>
      <c r="F287" s="41"/>
      <c r="G287" s="41"/>
      <c r="H287" s="41"/>
      <c r="I287" s="41"/>
      <c r="J287" s="41"/>
      <c r="K287" s="44"/>
    </row>
    <row r="288" spans="1:11">
      <c r="A288" s="44"/>
      <c r="B288" s="58"/>
      <c r="C288" s="58"/>
      <c r="D288" s="58"/>
      <c r="E288" s="39"/>
      <c r="F288" s="41"/>
      <c r="G288" s="41"/>
      <c r="H288" s="41"/>
      <c r="I288" s="41"/>
      <c r="J288" s="41"/>
      <c r="K288" s="44"/>
    </row>
    <row r="289" spans="1:11">
      <c r="A289" s="44"/>
      <c r="B289" s="58"/>
      <c r="C289" s="58"/>
      <c r="D289" s="58"/>
      <c r="E289" s="39"/>
      <c r="F289" s="41"/>
      <c r="G289" s="41"/>
      <c r="H289" s="41"/>
      <c r="I289" s="41"/>
      <c r="J289" s="41"/>
      <c r="K289" s="44"/>
    </row>
    <row r="290" spans="1:11">
      <c r="A290" s="44"/>
      <c r="B290" s="58"/>
      <c r="C290" s="58"/>
      <c r="D290" s="58"/>
      <c r="E290" s="39"/>
      <c r="F290" s="41"/>
      <c r="G290" s="41"/>
      <c r="H290" s="41"/>
      <c r="I290" s="41"/>
      <c r="J290" s="41"/>
      <c r="K290" s="44"/>
    </row>
    <row r="291" spans="1:11">
      <c r="A291" s="44"/>
      <c r="B291" s="58"/>
      <c r="C291" s="58"/>
      <c r="D291" s="58"/>
      <c r="E291" s="39"/>
      <c r="F291" s="41"/>
      <c r="G291" s="41"/>
      <c r="H291" s="41"/>
      <c r="I291" s="41"/>
      <c r="J291" s="41"/>
      <c r="K291" s="44"/>
    </row>
    <row r="292" spans="1:11">
      <c r="A292" s="44"/>
      <c r="B292" s="58"/>
      <c r="C292" s="58"/>
      <c r="D292" s="58"/>
      <c r="E292" s="39"/>
      <c r="F292" s="41"/>
      <c r="G292" s="41"/>
      <c r="H292" s="41"/>
      <c r="I292" s="41"/>
      <c r="J292" s="41"/>
      <c r="K292" s="44"/>
    </row>
    <row r="293" spans="1:11">
      <c r="A293" s="44"/>
      <c r="B293" s="58"/>
      <c r="C293" s="58"/>
      <c r="D293" s="58"/>
      <c r="E293" s="39"/>
      <c r="F293" s="41"/>
      <c r="G293" s="41"/>
      <c r="H293" s="41"/>
      <c r="I293" s="41"/>
      <c r="J293" s="41"/>
      <c r="K293" s="44"/>
    </row>
    <row r="294" spans="1:11">
      <c r="A294" s="44"/>
      <c r="B294" s="58"/>
      <c r="C294" s="58"/>
      <c r="D294" s="58"/>
      <c r="E294" s="39"/>
      <c r="F294" s="41"/>
      <c r="G294" s="41"/>
      <c r="H294" s="41"/>
      <c r="I294" s="41"/>
      <c r="J294" s="41"/>
      <c r="K294" s="44"/>
    </row>
    <row r="295" spans="1:11">
      <c r="A295" s="44"/>
      <c r="B295" s="58"/>
      <c r="C295" s="58"/>
      <c r="D295" s="58"/>
      <c r="E295" s="39"/>
      <c r="F295" s="41"/>
      <c r="G295" s="41"/>
      <c r="H295" s="41"/>
      <c r="I295" s="41"/>
      <c r="J295" s="41"/>
      <c r="K295" s="44"/>
    </row>
    <row r="296" spans="1:11">
      <c r="A296" s="44"/>
      <c r="B296" s="58"/>
      <c r="C296" s="58"/>
      <c r="D296" s="58"/>
      <c r="E296" s="39"/>
      <c r="F296" s="41"/>
      <c r="G296" s="41"/>
      <c r="H296" s="41"/>
      <c r="I296" s="41"/>
      <c r="J296" s="41"/>
      <c r="K296" s="44"/>
    </row>
    <row r="297" spans="1:11">
      <c r="A297" s="44"/>
      <c r="B297" s="58"/>
      <c r="C297" s="58"/>
      <c r="D297" s="58"/>
      <c r="E297" s="39"/>
      <c r="F297" s="41"/>
      <c r="G297" s="41"/>
      <c r="H297" s="41"/>
      <c r="I297" s="41"/>
      <c r="J297" s="41"/>
      <c r="K297" s="44"/>
    </row>
    <row r="298" spans="1:11">
      <c r="A298" s="44"/>
      <c r="B298" s="58"/>
      <c r="C298" s="58"/>
      <c r="D298" s="58"/>
      <c r="E298" s="39"/>
      <c r="F298" s="41"/>
      <c r="G298" s="41"/>
      <c r="H298" s="41"/>
      <c r="I298" s="41"/>
      <c r="J298" s="41"/>
      <c r="K298" s="44"/>
    </row>
    <row r="299" spans="1:11">
      <c r="A299" s="44"/>
      <c r="B299" s="58"/>
      <c r="C299" s="58"/>
      <c r="D299" s="58"/>
      <c r="E299" s="39"/>
      <c r="F299" s="41"/>
      <c r="G299" s="41"/>
      <c r="H299" s="41"/>
      <c r="I299" s="41"/>
      <c r="J299" s="41"/>
      <c r="K299" s="44"/>
    </row>
    <row r="300" spans="1:11">
      <c r="A300" s="44"/>
      <c r="B300" s="58"/>
      <c r="C300" s="58"/>
      <c r="D300" s="58"/>
      <c r="E300" s="39"/>
      <c r="F300" s="41"/>
      <c r="G300" s="41"/>
      <c r="H300" s="41"/>
      <c r="I300" s="41"/>
      <c r="J300" s="41"/>
      <c r="K300" s="44"/>
    </row>
    <row r="301" spans="1:11">
      <c r="A301" s="44"/>
      <c r="B301" s="58"/>
      <c r="C301" s="58"/>
      <c r="D301" s="58"/>
      <c r="E301" s="39"/>
      <c r="F301" s="41"/>
      <c r="G301" s="41"/>
      <c r="H301" s="41"/>
      <c r="I301" s="41"/>
      <c r="J301" s="41"/>
      <c r="K301" s="44"/>
    </row>
    <row r="302" spans="1:11">
      <c r="A302" s="44"/>
      <c r="B302" s="44"/>
      <c r="C302" s="44"/>
      <c r="D302" s="44"/>
      <c r="E302" s="39"/>
      <c r="F302" s="41"/>
      <c r="G302" s="41"/>
      <c r="H302" s="41"/>
      <c r="I302" s="41"/>
      <c r="J302" s="41"/>
      <c r="K302" s="44"/>
    </row>
    <row r="303" spans="1:11">
      <c r="A303" s="44"/>
      <c r="B303" s="44"/>
      <c r="C303" s="44"/>
      <c r="D303" s="44"/>
      <c r="E303" s="39"/>
      <c r="F303" s="41"/>
      <c r="G303" s="41"/>
      <c r="H303" s="41"/>
      <c r="I303" s="41"/>
      <c r="J303" s="41"/>
      <c r="K303" s="44"/>
    </row>
    <row r="304" spans="1:11">
      <c r="A304" s="44"/>
      <c r="B304" s="44"/>
      <c r="C304" s="44"/>
      <c r="D304" s="44"/>
      <c r="E304" s="39"/>
      <c r="F304" s="41"/>
      <c r="G304" s="41"/>
      <c r="H304" s="41"/>
      <c r="I304" s="41"/>
      <c r="J304" s="41"/>
      <c r="K304" s="44"/>
    </row>
  </sheetData>
  <mergeCells count="286">
    <mergeCell ref="G2:I2"/>
    <mergeCell ref="G3:I3"/>
    <mergeCell ref="G4:I4"/>
    <mergeCell ref="G5:I5"/>
    <mergeCell ref="G6:I6"/>
    <mergeCell ref="C8:F8"/>
    <mergeCell ref="J12:J14"/>
    <mergeCell ref="A15:J15"/>
    <mergeCell ref="B16:D16"/>
    <mergeCell ref="B17:D17"/>
    <mergeCell ref="B18:D18"/>
    <mergeCell ref="B19:D19"/>
    <mergeCell ref="C9:F9"/>
    <mergeCell ref="B10:H10"/>
    <mergeCell ref="A11:A14"/>
    <mergeCell ref="B11:D14"/>
    <mergeCell ref="E11:E14"/>
    <mergeCell ref="F11:J11"/>
    <mergeCell ref="F12:F14"/>
    <mergeCell ref="G12:G14"/>
    <mergeCell ref="H12:H14"/>
    <mergeCell ref="I12:I14"/>
    <mergeCell ref="B27:D27"/>
    <mergeCell ref="B28:D28"/>
    <mergeCell ref="B29:D29"/>
    <mergeCell ref="B30:D30"/>
    <mergeCell ref="B31:D31"/>
    <mergeCell ref="B32:D32"/>
    <mergeCell ref="B20:D20"/>
    <mergeCell ref="B21:D21"/>
    <mergeCell ref="B22:D22"/>
    <mergeCell ref="B23:D23"/>
    <mergeCell ref="B24:D24"/>
    <mergeCell ref="B26:D26"/>
    <mergeCell ref="B39:D39"/>
    <mergeCell ref="B40:D40"/>
    <mergeCell ref="B41:D41"/>
    <mergeCell ref="A42:J42"/>
    <mergeCell ref="B43:D43"/>
    <mergeCell ref="L43:N43"/>
    <mergeCell ref="B33:D33"/>
    <mergeCell ref="B34:D34"/>
    <mergeCell ref="B35:D35"/>
    <mergeCell ref="B36:D36"/>
    <mergeCell ref="B37:D37"/>
    <mergeCell ref="B38:D38"/>
    <mergeCell ref="B51:D51"/>
    <mergeCell ref="B52:D52"/>
    <mergeCell ref="B53:D53"/>
    <mergeCell ref="B54:D54"/>
    <mergeCell ref="B55:D55"/>
    <mergeCell ref="B56:D56"/>
    <mergeCell ref="B44:D44"/>
    <mergeCell ref="B45:D45"/>
    <mergeCell ref="B46:D46"/>
    <mergeCell ref="B47:D47"/>
    <mergeCell ref="B48:D48"/>
    <mergeCell ref="B49:D49"/>
    <mergeCell ref="B63:D63"/>
    <mergeCell ref="B64:D64"/>
    <mergeCell ref="B65:D65"/>
    <mergeCell ref="B66:D66"/>
    <mergeCell ref="A67:J67"/>
    <mergeCell ref="B68:D68"/>
    <mergeCell ref="B57:D57"/>
    <mergeCell ref="B58:D58"/>
    <mergeCell ref="B59:D59"/>
    <mergeCell ref="B60:D60"/>
    <mergeCell ref="B61:D61"/>
    <mergeCell ref="B62:D62"/>
    <mergeCell ref="B79:D79"/>
    <mergeCell ref="B80:D80"/>
    <mergeCell ref="B81:D81"/>
    <mergeCell ref="B82:D82"/>
    <mergeCell ref="B83:D83"/>
    <mergeCell ref="B84:D84"/>
    <mergeCell ref="B70:D70"/>
    <mergeCell ref="B71:D71"/>
    <mergeCell ref="B72:D72"/>
    <mergeCell ref="B73:D73"/>
    <mergeCell ref="B76:D76"/>
    <mergeCell ref="B78:D78"/>
    <mergeCell ref="B91:D91"/>
    <mergeCell ref="B92:D92"/>
    <mergeCell ref="B93:D93"/>
    <mergeCell ref="B94:D94"/>
    <mergeCell ref="A95:J95"/>
    <mergeCell ref="B96:D96"/>
    <mergeCell ref="B85:D85"/>
    <mergeCell ref="B86:D86"/>
    <mergeCell ref="B87:D87"/>
    <mergeCell ref="B88:D88"/>
    <mergeCell ref="B89:D89"/>
    <mergeCell ref="B90:D90"/>
    <mergeCell ref="B104:D104"/>
    <mergeCell ref="B105:D105"/>
    <mergeCell ref="B106:D106"/>
    <mergeCell ref="B107:D107"/>
    <mergeCell ref="B108:D108"/>
    <mergeCell ref="B109:D109"/>
    <mergeCell ref="B97:D97"/>
    <mergeCell ref="B98:D98"/>
    <mergeCell ref="B99:D99"/>
    <mergeCell ref="B100:D100"/>
    <mergeCell ref="B101:D101"/>
    <mergeCell ref="B102:D102"/>
    <mergeCell ref="B117:D117"/>
    <mergeCell ref="B118:D118"/>
    <mergeCell ref="B119:D119"/>
    <mergeCell ref="B120:D120"/>
    <mergeCell ref="A121:J121"/>
    <mergeCell ref="B122:D122"/>
    <mergeCell ref="B110:D110"/>
    <mergeCell ref="B111:D111"/>
    <mergeCell ref="B112:D112"/>
    <mergeCell ref="B114:D114"/>
    <mergeCell ref="B115:D115"/>
    <mergeCell ref="B116:D116"/>
    <mergeCell ref="B130:D130"/>
    <mergeCell ref="B131:D131"/>
    <mergeCell ref="B132:D132"/>
    <mergeCell ref="B133:D133"/>
    <mergeCell ref="B134:D134"/>
    <mergeCell ref="B135:D135"/>
    <mergeCell ref="B123:D123"/>
    <mergeCell ref="B124:D124"/>
    <mergeCell ref="B125:D125"/>
    <mergeCell ref="B126:D126"/>
    <mergeCell ref="B127:D127"/>
    <mergeCell ref="B128:D128"/>
    <mergeCell ref="B142:D142"/>
    <mergeCell ref="B143:D143"/>
    <mergeCell ref="B144:D144"/>
    <mergeCell ref="B145:D145"/>
    <mergeCell ref="A146:J146"/>
    <mergeCell ref="B147:D147"/>
    <mergeCell ref="B136:D136"/>
    <mergeCell ref="B137:D137"/>
    <mergeCell ref="B138:D138"/>
    <mergeCell ref="B139:D139"/>
    <mergeCell ref="B140:D140"/>
    <mergeCell ref="B141:D141"/>
    <mergeCell ref="B156:D156"/>
    <mergeCell ref="B157:D157"/>
    <mergeCell ref="B158:D158"/>
    <mergeCell ref="B159:D159"/>
    <mergeCell ref="B160:D160"/>
    <mergeCell ref="B161:D161"/>
    <mergeCell ref="B148:D148"/>
    <mergeCell ref="B149:D149"/>
    <mergeCell ref="B150:D150"/>
    <mergeCell ref="B151:D151"/>
    <mergeCell ref="B152:D152"/>
    <mergeCell ref="B153:D153"/>
    <mergeCell ref="B168:D168"/>
    <mergeCell ref="B169:D169"/>
    <mergeCell ref="B170:D170"/>
    <mergeCell ref="B171:D171"/>
    <mergeCell ref="A172:J172"/>
    <mergeCell ref="B173:D173"/>
    <mergeCell ref="B162:D162"/>
    <mergeCell ref="B163:D163"/>
    <mergeCell ref="B164:D164"/>
    <mergeCell ref="B165:D165"/>
    <mergeCell ref="B166:D166"/>
    <mergeCell ref="B167:D167"/>
    <mergeCell ref="B181:D181"/>
    <mergeCell ref="B182:D182"/>
    <mergeCell ref="B183:D183"/>
    <mergeCell ref="B184:D184"/>
    <mergeCell ref="B185:D185"/>
    <mergeCell ref="B186:D186"/>
    <mergeCell ref="B174:D174"/>
    <mergeCell ref="B175:D175"/>
    <mergeCell ref="B176:D176"/>
    <mergeCell ref="B177:D177"/>
    <mergeCell ref="B178:D178"/>
    <mergeCell ref="B179:D179"/>
    <mergeCell ref="B194:D194"/>
    <mergeCell ref="B195:D195"/>
    <mergeCell ref="B196:D196"/>
    <mergeCell ref="A197:J197"/>
    <mergeCell ref="B198:D198"/>
    <mergeCell ref="B199:D199"/>
    <mergeCell ref="B187:D187"/>
    <mergeCell ref="B188:D188"/>
    <mergeCell ref="B189:D189"/>
    <mergeCell ref="B191:D191"/>
    <mergeCell ref="B192:D192"/>
    <mergeCell ref="B193:D193"/>
    <mergeCell ref="B208:D208"/>
    <mergeCell ref="B209:D209"/>
    <mergeCell ref="B210:D210"/>
    <mergeCell ref="B211:D211"/>
    <mergeCell ref="B212:D212"/>
    <mergeCell ref="B213:D213"/>
    <mergeCell ref="B200:D200"/>
    <mergeCell ref="B201:D201"/>
    <mergeCell ref="B202:D202"/>
    <mergeCell ref="B203:D203"/>
    <mergeCell ref="B204:D204"/>
    <mergeCell ref="B206:D206"/>
    <mergeCell ref="B220:D220"/>
    <mergeCell ref="B221:D221"/>
    <mergeCell ref="A223:J223"/>
    <mergeCell ref="B224:D224"/>
    <mergeCell ref="B225:D225"/>
    <mergeCell ref="B226:D226"/>
    <mergeCell ref="B214:D214"/>
    <mergeCell ref="B215:D215"/>
    <mergeCell ref="B216:D216"/>
    <mergeCell ref="B217:D217"/>
    <mergeCell ref="B218:D218"/>
    <mergeCell ref="B219:D219"/>
    <mergeCell ref="B234:D234"/>
    <mergeCell ref="B235:D235"/>
    <mergeCell ref="B236:D236"/>
    <mergeCell ref="B237:D237"/>
    <mergeCell ref="B238:D238"/>
    <mergeCell ref="B239:D239"/>
    <mergeCell ref="B227:D227"/>
    <mergeCell ref="B228:D228"/>
    <mergeCell ref="B229:D229"/>
    <mergeCell ref="B230:D230"/>
    <mergeCell ref="B232:D232"/>
    <mergeCell ref="B233:D233"/>
    <mergeCell ref="A247:J247"/>
    <mergeCell ref="B248:D248"/>
    <mergeCell ref="B249:D249"/>
    <mergeCell ref="B250:D250"/>
    <mergeCell ref="B251:D251"/>
    <mergeCell ref="B252:D252"/>
    <mergeCell ref="B240:D240"/>
    <mergeCell ref="B241:D241"/>
    <mergeCell ref="B242:D242"/>
    <mergeCell ref="B243:D243"/>
    <mergeCell ref="B244:D244"/>
    <mergeCell ref="B245:D245"/>
    <mergeCell ref="B260:D260"/>
    <mergeCell ref="B261:D261"/>
    <mergeCell ref="B262:D262"/>
    <mergeCell ref="B263:D263"/>
    <mergeCell ref="B264:D264"/>
    <mergeCell ref="B265:D265"/>
    <mergeCell ref="B253:D253"/>
    <mergeCell ref="B254:D254"/>
    <mergeCell ref="B256:D256"/>
    <mergeCell ref="B257:D257"/>
    <mergeCell ref="B258:D258"/>
    <mergeCell ref="B259:D259"/>
    <mergeCell ref="B272:D272"/>
    <mergeCell ref="B273:D273"/>
    <mergeCell ref="B274:D274"/>
    <mergeCell ref="B275:D275"/>
    <mergeCell ref="B276:D276"/>
    <mergeCell ref="B277:D277"/>
    <mergeCell ref="B266:D266"/>
    <mergeCell ref="B267:D267"/>
    <mergeCell ref="B268:D268"/>
    <mergeCell ref="B269:D269"/>
    <mergeCell ref="B270:D270"/>
    <mergeCell ref="B271:D271"/>
    <mergeCell ref="B284:D284"/>
    <mergeCell ref="B285:D285"/>
    <mergeCell ref="B286:D286"/>
    <mergeCell ref="B287:D287"/>
    <mergeCell ref="B288:D288"/>
    <mergeCell ref="B289:D289"/>
    <mergeCell ref="B278:D278"/>
    <mergeCell ref="B279:D279"/>
    <mergeCell ref="B280:D280"/>
    <mergeCell ref="B281:D281"/>
    <mergeCell ref="B282:D282"/>
    <mergeCell ref="B283:D283"/>
    <mergeCell ref="B296:D296"/>
    <mergeCell ref="B297:D297"/>
    <mergeCell ref="B298:D298"/>
    <mergeCell ref="B299:D299"/>
    <mergeCell ref="B300:D300"/>
    <mergeCell ref="B301:D301"/>
    <mergeCell ref="B290:D290"/>
    <mergeCell ref="B291:D291"/>
    <mergeCell ref="B292:D292"/>
    <mergeCell ref="B293:D293"/>
    <mergeCell ref="B294:D294"/>
    <mergeCell ref="B295:D29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3-7</vt:lpstr>
      <vt:lpstr>1,5-3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2021-11-11T09:16:46Z</dcterms:modified>
</cp:coreProperties>
</file>